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Hingham Affordable Housing Trust\Lincoln School Apartments (LSA)\Budgets\2025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1" l="1"/>
  <c r="C73" i="1" l="1"/>
  <c r="D70" i="1" s="1"/>
  <c r="B73" i="1"/>
  <c r="D52" i="1"/>
  <c r="D51" i="1"/>
  <c r="D71" i="1" s="1"/>
  <c r="C51" i="1"/>
  <c r="B51" i="1"/>
  <c r="D49" i="1"/>
  <c r="C49" i="1"/>
  <c r="B49" i="1"/>
  <c r="D48" i="1"/>
  <c r="C48" i="1"/>
  <c r="B48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C37" i="1"/>
  <c r="B37" i="1"/>
  <c r="C36" i="1"/>
  <c r="B36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0" i="1"/>
  <c r="C20" i="1"/>
  <c r="B20" i="1"/>
  <c r="D16" i="1"/>
  <c r="C16" i="1"/>
  <c r="B16" i="1"/>
  <c r="C14" i="1"/>
  <c r="B14" i="1"/>
  <c r="C13" i="1"/>
  <c r="D11" i="1"/>
  <c r="C11" i="1"/>
  <c r="C18" i="1" s="1"/>
  <c r="B11" i="1"/>
  <c r="C10" i="1"/>
  <c r="B10" i="1"/>
  <c r="D9" i="1"/>
  <c r="E9" i="1" s="1"/>
  <c r="B9" i="1"/>
  <c r="C9" i="1" s="1"/>
  <c r="B7" i="1"/>
  <c r="B5" i="1"/>
  <c r="E60" i="1" s="1"/>
  <c r="B4" i="1"/>
  <c r="C54" i="1" l="1"/>
  <c r="D54" i="1"/>
  <c r="E54" i="1" s="1"/>
  <c r="B13" i="1"/>
  <c r="B54" i="1"/>
  <c r="C34" i="1"/>
  <c r="D34" i="1"/>
  <c r="E34" i="1" s="1"/>
  <c r="B18" i="1"/>
  <c r="B22" i="1" s="1"/>
  <c r="C22" i="1"/>
  <c r="D73" i="1"/>
  <c r="B44" i="1"/>
  <c r="B34" i="1"/>
  <c r="C44" i="1"/>
  <c r="E31" i="1"/>
  <c r="E26" i="1"/>
  <c r="E49" i="1"/>
  <c r="E20" i="1"/>
  <c r="E30" i="1"/>
  <c r="E38" i="1"/>
  <c r="E41" i="1"/>
  <c r="E51" i="1"/>
  <c r="E29" i="1"/>
  <c r="E40" i="1"/>
  <c r="E15" i="1"/>
  <c r="E27" i="1"/>
  <c r="E52" i="1"/>
  <c r="E11" i="1"/>
  <c r="E28" i="1"/>
  <c r="E42" i="1"/>
  <c r="E32" i="1"/>
  <c r="E39" i="1"/>
  <c r="E48" i="1"/>
  <c r="E16" i="1"/>
  <c r="E58" i="1"/>
  <c r="B46" i="1" l="1"/>
  <c r="B62" i="1" s="1"/>
  <c r="B64" i="1" s="1"/>
  <c r="C46" i="1"/>
  <c r="C62" i="1" s="1"/>
  <c r="C64" i="1" s="1"/>
  <c r="C66" i="1" s="1"/>
  <c r="D14" i="1" l="1"/>
  <c r="D13" i="1" l="1"/>
  <c r="D18" i="1"/>
  <c r="E14" i="1"/>
  <c r="E18" i="1" l="1"/>
  <c r="D22" i="1"/>
  <c r="E22" i="1" l="1"/>
  <c r="D37" i="1" l="1"/>
  <c r="E37" i="1" s="1"/>
  <c r="D36" i="1"/>
  <c r="E36" i="1" l="1"/>
  <c r="D44" i="1"/>
  <c r="D46" i="1" l="1"/>
  <c r="E44" i="1"/>
  <c r="D62" i="1" l="1"/>
  <c r="E46" i="1"/>
  <c r="E62" i="1" l="1"/>
  <c r="D64" i="1"/>
  <c r="E64" i="1" s="1"/>
</calcChain>
</file>

<file path=xl/comments1.xml><?xml version="1.0" encoding="utf-8"?>
<comments xmlns="http://schemas.openxmlformats.org/spreadsheetml/2006/main">
  <authors>
    <author>Jamie Beaulieu</author>
  </authors>
  <commentList>
    <comment ref="C52" authorId="0" shapeId="0">
      <text>
        <r>
          <rPr>
            <b/>
            <sz val="9"/>
            <color indexed="81"/>
            <rFont val="Tahoma"/>
            <family val="2"/>
          </rPr>
          <t>See cell J228 on 4 Column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<sst xmlns="http://schemas.openxmlformats.org/spreadsheetml/2006/main" count="83" uniqueCount="79">
  <si>
    <t>Budget Summary</t>
  </si>
  <si>
    <t>Property Name:</t>
  </si>
  <si>
    <t>Number of Apartments:</t>
  </si>
  <si>
    <t>Revision Date:</t>
  </si>
  <si>
    <t xml:space="preserve"> </t>
  </si>
  <si>
    <t>Prepared By:</t>
  </si>
  <si>
    <t>Budget $/Apt.</t>
  </si>
  <si>
    <t>GROSS POTENTIAL INCOME</t>
  </si>
  <si>
    <t>Vacancy %</t>
  </si>
  <si>
    <t>Vacancy</t>
  </si>
  <si>
    <t>Concessions</t>
  </si>
  <si>
    <t>Bad Debt</t>
  </si>
  <si>
    <t>Rental Income</t>
  </si>
  <si>
    <t>Miscellaneous Income</t>
  </si>
  <si>
    <t>TOTAL INCOME</t>
  </si>
  <si>
    <t>EXPENSES</t>
  </si>
  <si>
    <t>Renting</t>
  </si>
  <si>
    <t>Administrative</t>
  </si>
  <si>
    <t>Payroll</t>
  </si>
  <si>
    <t>Operating</t>
  </si>
  <si>
    <t>Utilities</t>
  </si>
  <si>
    <t>Maintenance</t>
  </si>
  <si>
    <t>Non Capital Replacement Purchases</t>
  </si>
  <si>
    <t>TOTAL CONTROLLABLE</t>
  </si>
  <si>
    <t>Management Fees</t>
  </si>
  <si>
    <t>Additional Management Fee</t>
  </si>
  <si>
    <t>Auditing</t>
  </si>
  <si>
    <t>Bookkeeping</t>
  </si>
  <si>
    <t>Professional Services</t>
  </si>
  <si>
    <t>HOA Fee</t>
  </si>
  <si>
    <t>Insurance</t>
  </si>
  <si>
    <t>TOTAL NON CONTROLLABLE</t>
  </si>
  <si>
    <t>TOTAL EXPENSES BEFORE TAXES, DEPRECIATION &amp; DEBT</t>
  </si>
  <si>
    <t>Real Estate Taxes</t>
  </si>
  <si>
    <t>Base Rent (Debt Service)</t>
  </si>
  <si>
    <t>Additional Rent (Article 16 Funds - 7/1/2028)</t>
  </si>
  <si>
    <t>Replacement Reserve Deposits (2022 C.N.A)</t>
  </si>
  <si>
    <t>TOTAL TAXES, RENT, &amp; RESERVES</t>
  </si>
  <si>
    <t>NON RECURRING EXPENSES</t>
  </si>
  <si>
    <t>Cash Flow Rent Payment</t>
  </si>
  <si>
    <t>HVAC Project</t>
  </si>
  <si>
    <t>Window Project Contingency from Operating</t>
  </si>
  <si>
    <t>TOTAL OPERATING EXPENSES</t>
  </si>
  <si>
    <t>TOTAL CASH FLOW</t>
  </si>
  <si>
    <t>CASH FLOW RENT (90% of Cash Flow)</t>
  </si>
  <si>
    <t>REPLACEMENT RESERVE BUDGET</t>
  </si>
  <si>
    <t>2024 Approved Budget</t>
  </si>
  <si>
    <t>2024 Projected Year End</t>
  </si>
  <si>
    <t>2025 Proposed Budget</t>
  </si>
  <si>
    <t xml:space="preserve">Replacement Reserves </t>
  </si>
  <si>
    <t xml:space="preserve">Contributions </t>
  </si>
  <si>
    <t>Withdrawals</t>
  </si>
  <si>
    <t>Ending Balance (12/31)</t>
  </si>
  <si>
    <t>2022 Actual Costs</t>
  </si>
  <si>
    <t>2023 Actual
Costs</t>
  </si>
  <si>
    <t>Remaining Balance</t>
  </si>
  <si>
    <r>
      <rPr>
        <b/>
        <sz val="11"/>
        <color theme="1" tint="4.9989318521683403E-2"/>
        <rFont val="Arial"/>
        <family val="2"/>
      </rPr>
      <t>WINDOWS PROJECT TOTAL BUDGET</t>
    </r>
    <r>
      <rPr>
        <sz val="11"/>
        <color theme="1" tint="4.9989318521683403E-2"/>
        <rFont val="Courier New"/>
        <family val="3"/>
      </rPr>
      <t>*</t>
    </r>
  </si>
  <si>
    <t>Windows Project Available Resources:</t>
  </si>
  <si>
    <t>ATM 2016</t>
  </si>
  <si>
    <t>Replacement Reserves</t>
  </si>
  <si>
    <t>Operating Cash</t>
  </si>
  <si>
    <r>
      <rPr>
        <sz val="10"/>
        <color theme="1" tint="4.9989318521683403E-2"/>
        <rFont val="Courier New"/>
        <family val="3"/>
      </rPr>
      <t>*</t>
    </r>
    <r>
      <rPr>
        <sz val="10"/>
        <color theme="1" tint="4.9989318521683403E-2"/>
        <rFont val="Arial"/>
        <family val="2"/>
      </rPr>
      <t xml:space="preserve"> See Window Project Development Costs Table below for more detail</t>
    </r>
  </si>
  <si>
    <t>WINDOWS PROJECT DEVELOPMENT COSTS</t>
  </si>
  <si>
    <t>Change orders</t>
  </si>
  <si>
    <t>Adjusted Total</t>
  </si>
  <si>
    <t>Paid to Date</t>
  </si>
  <si>
    <t>Costs to Complete</t>
  </si>
  <si>
    <t>Remaining balance</t>
  </si>
  <si>
    <t>Hard Cost (Low bid incl 3 Add Alts)</t>
  </si>
  <si>
    <t xml:space="preserve">Soft Cost (architectural) </t>
  </si>
  <si>
    <t>Total Cost</t>
  </si>
  <si>
    <t>Capital Projects Funded From Reserves</t>
  </si>
  <si>
    <t>2024 Costs</t>
  </si>
  <si>
    <t>2025 Budget</t>
  </si>
  <si>
    <t>Paving</t>
  </si>
  <si>
    <t>Contingency for other projects</t>
  </si>
  <si>
    <t>*$300k place holder for capital projects, $73,800 for paving project.</t>
  </si>
  <si>
    <t>Annual Budget</t>
  </si>
  <si>
    <t>Board of Managers to request Landlord transfer to Replacment Reserve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</si>
</sst>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_)"/>
    <numFmt numFmtId="165" formatCode="mm/dd/yy;@"/>
    <numFmt numFmtId="166" formatCode="&quot;$&quot;#,##0.00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ourier"/>
      <family val="3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12"/>
      <name val="Arial"/>
      <family val="2"/>
    </font>
    <font>
      <i/>
      <sz val="11"/>
      <name val="Arial"/>
      <family val="2"/>
    </font>
    <font>
      <i/>
      <sz val="11"/>
      <color indexed="12"/>
      <name val="Arial"/>
      <family val="2"/>
    </font>
    <font>
      <strike/>
      <sz val="11"/>
      <name val="Arial"/>
      <family val="2"/>
    </font>
    <font>
      <strike/>
      <sz val="11"/>
      <color indexed="12"/>
      <name val="Arial"/>
      <family val="2"/>
    </font>
    <font>
      <sz val="11"/>
      <color rgb="FFFF0000"/>
      <name val="Arial"/>
      <family val="2"/>
    </font>
    <font>
      <b/>
      <sz val="11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sz val="11"/>
      <color theme="1"/>
      <name val="Arial"/>
      <family val="2"/>
    </font>
    <font>
      <sz val="11"/>
      <color theme="1" tint="4.9989318521683403E-2"/>
      <name val="Courier New"/>
      <family val="3"/>
    </font>
    <font>
      <u/>
      <sz val="11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10"/>
      <color theme="1" tint="4.9989318521683403E-2"/>
      <name val="Courier New"/>
      <family val="3"/>
    </font>
    <font>
      <sz val="11"/>
      <color rgb="FF00B050"/>
      <name val="Aptos Narrow"/>
      <family val="2"/>
      <scheme val="minor"/>
    </font>
    <font>
      <b/>
      <sz val="11"/>
      <color theme="1"/>
      <name val="Arial"/>
      <family val="2"/>
    </font>
    <font>
      <b/>
      <strike/>
      <sz val="11"/>
      <color theme="4" tint="-0.49995422223578601"/>
      <name val="Arial"/>
      <family val="2"/>
    </font>
    <font>
      <b/>
      <sz val="11"/>
      <color theme="4" tint="-0.49995422223578601"/>
      <name val="Arial"/>
      <family val="2"/>
    </font>
    <font>
      <strike/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7" fontId="2" fillId="0" borderId="0"/>
    <xf numFmtId="37" fontId="5" fillId="0" borderId="0"/>
  </cellStyleXfs>
  <cellXfs count="113">
    <xf numFmtId="0" fontId="0" fillId="0" borderId="0" xfId="0"/>
    <xf numFmtId="7" fontId="4" fillId="0" borderId="0" xfId="2" applyFont="1" applyAlignment="1">
      <alignment vertical="center"/>
    </xf>
    <xf numFmtId="7" fontId="3" fillId="0" borderId="0" xfId="2" applyFont="1" applyAlignment="1">
      <alignment horizontal="left" vertical="center"/>
    </xf>
    <xf numFmtId="37" fontId="3" fillId="0" borderId="0" xfId="3" applyFont="1" applyAlignment="1">
      <alignment horizontal="left" vertical="center"/>
    </xf>
    <xf numFmtId="7" fontId="6" fillId="0" borderId="0" xfId="2" applyFont="1" applyAlignment="1">
      <alignment vertical="center"/>
    </xf>
    <xf numFmtId="164" fontId="6" fillId="0" borderId="0" xfId="2" applyNumberFormat="1" applyFont="1" applyAlignment="1">
      <alignment horizontal="left" vertical="center"/>
    </xf>
    <xf numFmtId="7" fontId="4" fillId="0" borderId="0" xfId="2" applyFont="1" applyAlignment="1">
      <alignment horizontal="center" vertical="center"/>
    </xf>
    <xf numFmtId="0" fontId="6" fillId="0" borderId="0" xfId="2" applyNumberFormat="1" applyFont="1" applyAlignment="1">
      <alignment horizontal="left" vertical="center"/>
    </xf>
    <xf numFmtId="49" fontId="4" fillId="0" borderId="0" xfId="2" applyNumberFormat="1" applyFont="1" applyAlignment="1">
      <alignment vertical="center"/>
    </xf>
    <xf numFmtId="1" fontId="3" fillId="0" borderId="1" xfId="2" applyNumberFormat="1" applyFont="1" applyBorder="1" applyAlignment="1">
      <alignment horizontal="center" vertical="center"/>
    </xf>
    <xf numFmtId="1" fontId="3" fillId="0" borderId="2" xfId="2" applyNumberFormat="1" applyFont="1" applyBorder="1" applyAlignment="1">
      <alignment horizontal="center" vertical="center"/>
    </xf>
    <xf numFmtId="1" fontId="3" fillId="0" borderId="3" xfId="2" applyNumberFormat="1" applyFont="1" applyBorder="1" applyAlignment="1">
      <alignment horizontal="center" vertical="center"/>
    </xf>
    <xf numFmtId="7" fontId="3" fillId="0" borderId="4" xfId="2" applyFont="1" applyBorder="1" applyAlignment="1">
      <alignment vertical="center"/>
    </xf>
    <xf numFmtId="5" fontId="6" fillId="0" borderId="5" xfId="2" applyNumberFormat="1" applyFont="1" applyBorder="1" applyAlignment="1">
      <alignment vertical="center"/>
    </xf>
    <xf numFmtId="37" fontId="6" fillId="0" borderId="5" xfId="2" applyNumberFormat="1" applyFont="1" applyBorder="1" applyAlignment="1">
      <alignment vertical="center"/>
    </xf>
    <xf numFmtId="7" fontId="4" fillId="0" borderId="4" xfId="2" applyFont="1" applyBorder="1" applyAlignment="1">
      <alignment vertical="center"/>
    </xf>
    <xf numFmtId="7" fontId="4" fillId="0" borderId="5" xfId="2" applyFont="1" applyBorder="1" applyAlignment="1">
      <alignment vertical="center"/>
    </xf>
    <xf numFmtId="37" fontId="4" fillId="0" borderId="5" xfId="2" applyNumberFormat="1" applyFont="1" applyBorder="1" applyAlignment="1">
      <alignment vertical="center"/>
    </xf>
    <xf numFmtId="7" fontId="7" fillId="0" borderId="4" xfId="2" applyFont="1" applyBorder="1" applyAlignment="1">
      <alignment vertical="center"/>
    </xf>
    <xf numFmtId="10" fontId="7" fillId="0" borderId="5" xfId="2" applyNumberFormat="1" applyFont="1" applyBorder="1" applyAlignment="1">
      <alignment vertical="center"/>
    </xf>
    <xf numFmtId="37" fontId="8" fillId="0" borderId="5" xfId="2" applyNumberFormat="1" applyFont="1" applyBorder="1" applyAlignment="1">
      <alignment horizontal="center" vertical="center"/>
    </xf>
    <xf numFmtId="7" fontId="7" fillId="0" borderId="0" xfId="2" applyFont="1" applyAlignment="1">
      <alignment vertical="center"/>
    </xf>
    <xf numFmtId="7" fontId="9" fillId="2" borderId="4" xfId="2" applyFont="1" applyFill="1" applyBorder="1" applyAlignment="1">
      <alignment vertical="center"/>
    </xf>
    <xf numFmtId="37" fontId="10" fillId="2" borderId="5" xfId="2" applyNumberFormat="1" applyFont="1" applyFill="1" applyBorder="1" applyAlignment="1">
      <alignment vertical="center"/>
    </xf>
    <xf numFmtId="37" fontId="6" fillId="0" borderId="6" xfId="2" applyNumberFormat="1" applyFont="1" applyBorder="1" applyAlignment="1">
      <alignment vertical="center"/>
    </xf>
    <xf numFmtId="37" fontId="4" fillId="0" borderId="2" xfId="2" applyNumberFormat="1" applyFont="1" applyBorder="1" applyAlignment="1">
      <alignment vertical="center"/>
    </xf>
    <xf numFmtId="37" fontId="6" fillId="0" borderId="2" xfId="2" applyNumberFormat="1" applyFont="1" applyBorder="1" applyAlignment="1">
      <alignment vertical="center"/>
    </xf>
    <xf numFmtId="7" fontId="3" fillId="0" borderId="4" xfId="2" applyFont="1" applyBorder="1" applyAlignment="1">
      <alignment vertical="center" wrapText="1"/>
    </xf>
    <xf numFmtId="37" fontId="6" fillId="2" borderId="5" xfId="2" applyNumberFormat="1" applyFont="1" applyFill="1" applyBorder="1" applyAlignment="1">
      <alignment vertical="center"/>
    </xf>
    <xf numFmtId="37" fontId="6" fillId="0" borderId="7" xfId="2" applyNumberFormat="1" applyFont="1" applyBorder="1" applyAlignment="1">
      <alignment vertical="center"/>
    </xf>
    <xf numFmtId="37" fontId="6" fillId="2" borderId="4" xfId="2" applyNumberFormat="1" applyFont="1" applyFill="1" applyBorder="1" applyAlignment="1">
      <alignment vertical="center"/>
    </xf>
    <xf numFmtId="37" fontId="6" fillId="0" borderId="4" xfId="2" applyNumberFormat="1" applyFont="1" applyBorder="1" applyAlignment="1">
      <alignment vertical="center"/>
    </xf>
    <xf numFmtId="37" fontId="4" fillId="0" borderId="8" xfId="2" applyNumberFormat="1" applyFont="1" applyBorder="1" applyAlignment="1">
      <alignment vertical="center"/>
    </xf>
    <xf numFmtId="7" fontId="3" fillId="0" borderId="9" xfId="2" applyFont="1" applyBorder="1" applyAlignment="1">
      <alignment vertical="center"/>
    </xf>
    <xf numFmtId="37" fontId="4" fillId="0" borderId="6" xfId="2" applyNumberFormat="1" applyFont="1" applyBorder="1" applyAlignment="1">
      <alignment vertical="center"/>
    </xf>
    <xf numFmtId="37" fontId="4" fillId="0" borderId="10" xfId="2" applyNumberFormat="1" applyFont="1" applyBorder="1" applyAlignment="1">
      <alignment vertical="center"/>
    </xf>
    <xf numFmtId="7" fontId="3" fillId="0" borderId="0" xfId="2" applyFont="1" applyAlignment="1">
      <alignment vertical="center"/>
    </xf>
    <xf numFmtId="37" fontId="4" fillId="0" borderId="0" xfId="2" applyNumberFormat="1" applyFont="1" applyAlignment="1">
      <alignment vertical="center"/>
    </xf>
    <xf numFmtId="37" fontId="6" fillId="0" borderId="0" xfId="2" applyNumberFormat="1" applyFont="1" applyAlignment="1">
      <alignment vertical="center"/>
    </xf>
    <xf numFmtId="7" fontId="4" fillId="0" borderId="11" xfId="2" applyFont="1" applyBorder="1" applyAlignment="1">
      <alignment vertical="center"/>
    </xf>
    <xf numFmtId="37" fontId="4" fillId="0" borderId="11" xfId="2" applyNumberFormat="1" applyFont="1" applyBorder="1" applyAlignment="1">
      <alignment vertical="center"/>
    </xf>
    <xf numFmtId="37" fontId="4" fillId="2" borderId="11" xfId="2" applyNumberFormat="1" applyFont="1" applyFill="1" applyBorder="1" applyAlignment="1">
      <alignment vertical="center"/>
    </xf>
    <xf numFmtId="7" fontId="12" fillId="0" borderId="11" xfId="2" applyFont="1" applyBorder="1" applyAlignment="1">
      <alignment vertical="center"/>
    </xf>
    <xf numFmtId="7" fontId="12" fillId="0" borderId="11" xfId="2" applyFont="1" applyBorder="1" applyAlignment="1">
      <alignment horizontal="center" vertical="center" wrapText="1"/>
    </xf>
    <xf numFmtId="7" fontId="13" fillId="0" borderId="6" xfId="2" applyFont="1" applyBorder="1" applyAlignment="1">
      <alignment vertical="center"/>
    </xf>
    <xf numFmtId="5" fontId="13" fillId="0" borderId="6" xfId="2" applyNumberFormat="1" applyFont="1" applyBorder="1" applyAlignment="1">
      <alignment vertical="center"/>
    </xf>
    <xf numFmtId="14" fontId="13" fillId="0" borderId="11" xfId="2" applyNumberFormat="1" applyFont="1" applyBorder="1" applyAlignment="1">
      <alignment vertical="center"/>
    </xf>
    <xf numFmtId="5" fontId="13" fillId="0" borderId="11" xfId="2" applyNumberFormat="1" applyFont="1" applyBorder="1" applyAlignment="1">
      <alignment vertical="center"/>
    </xf>
    <xf numFmtId="7" fontId="13" fillId="0" borderId="11" xfId="2" applyFont="1" applyBorder="1" applyAlignment="1">
      <alignment vertical="center"/>
    </xf>
    <xf numFmtId="7" fontId="13" fillId="0" borderId="0" xfId="2" applyFont="1" applyAlignment="1">
      <alignment vertical="center"/>
    </xf>
    <xf numFmtId="5" fontId="13" fillId="0" borderId="0" xfId="2" applyNumberFormat="1" applyFont="1" applyAlignment="1">
      <alignment vertical="center"/>
    </xf>
    <xf numFmtId="7" fontId="13" fillId="0" borderId="4" xfId="2" applyFont="1" applyBorder="1" applyAlignment="1">
      <alignment vertical="center"/>
    </xf>
    <xf numFmtId="7" fontId="12" fillId="0" borderId="11" xfId="2" applyFont="1" applyBorder="1" applyAlignment="1">
      <alignment vertical="center" wrapText="1"/>
    </xf>
    <xf numFmtId="7" fontId="3" fillId="0" borderId="11" xfId="2" applyFont="1" applyBorder="1" applyAlignment="1">
      <alignment vertical="center" wrapText="1"/>
    </xf>
    <xf numFmtId="7" fontId="14" fillId="0" borderId="0" xfId="2" applyFont="1" applyAlignment="1">
      <alignment vertical="center"/>
    </xf>
    <xf numFmtId="3" fontId="16" fillId="0" borderId="6" xfId="2" applyNumberFormat="1" applyFont="1" applyBorder="1" applyAlignment="1">
      <alignment vertical="center"/>
    </xf>
    <xf numFmtId="3" fontId="13" fillId="0" borderId="6" xfId="2" applyNumberFormat="1" applyFont="1" applyBorder="1" applyAlignment="1">
      <alignment vertical="center"/>
    </xf>
    <xf numFmtId="3" fontId="13" fillId="0" borderId="11" xfId="2" applyNumberFormat="1" applyFont="1" applyBorder="1" applyAlignment="1">
      <alignment vertical="center"/>
    </xf>
    <xf numFmtId="166" fontId="13" fillId="0" borderId="11" xfId="2" applyNumberFormat="1" applyFont="1" applyBorder="1" applyAlignment="1">
      <alignment vertical="center"/>
    </xf>
    <xf numFmtId="44" fontId="13" fillId="0" borderId="11" xfId="1" applyFont="1" applyFill="1" applyBorder="1" applyAlignment="1">
      <alignment vertical="center"/>
    </xf>
    <xf numFmtId="5" fontId="13" fillId="0" borderId="2" xfId="2" applyNumberFormat="1" applyFont="1" applyBorder="1" applyAlignment="1">
      <alignment vertical="center"/>
    </xf>
    <xf numFmtId="166" fontId="13" fillId="0" borderId="2" xfId="2" applyNumberFormat="1" applyFont="1" applyBorder="1" applyAlignment="1">
      <alignment vertical="center"/>
    </xf>
    <xf numFmtId="7" fontId="4" fillId="0" borderId="2" xfId="2" applyFont="1" applyBorder="1" applyAlignment="1">
      <alignment vertical="center"/>
    </xf>
    <xf numFmtId="3" fontId="17" fillId="0" borderId="0" xfId="2" applyNumberFormat="1" applyFont="1" applyAlignment="1">
      <alignment vertical="center"/>
    </xf>
    <xf numFmtId="7" fontId="19" fillId="0" borderId="3" xfId="2" applyFont="1" applyBorder="1" applyAlignment="1">
      <alignment vertical="center"/>
    </xf>
    <xf numFmtId="7" fontId="19" fillId="0" borderId="0" xfId="2" applyFont="1" applyAlignment="1">
      <alignment vertical="center"/>
    </xf>
    <xf numFmtId="7" fontId="20" fillId="3" borderId="11" xfId="2" applyFont="1" applyFill="1" applyBorder="1" applyAlignment="1">
      <alignment vertical="center"/>
    </xf>
    <xf numFmtId="7" fontId="20" fillId="0" borderId="11" xfId="2" applyFont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right"/>
    </xf>
    <xf numFmtId="166" fontId="14" fillId="0" borderId="11" xfId="0" applyNumberFormat="1" applyFont="1" applyBorder="1"/>
    <xf numFmtId="7" fontId="14" fillId="0" borderId="11" xfId="2" applyFont="1" applyBorder="1" applyAlignment="1">
      <alignment horizontal="right"/>
    </xf>
    <xf numFmtId="7" fontId="14" fillId="0" borderId="11" xfId="1" applyNumberFormat="1" applyFont="1" applyBorder="1"/>
    <xf numFmtId="166" fontId="14" fillId="0" borderId="11" xfId="1" applyNumberFormat="1" applyFont="1" applyBorder="1" applyAlignment="1">
      <alignment horizontal="right"/>
    </xf>
    <xf numFmtId="166" fontId="14" fillId="0" borderId="11" xfId="0" applyNumberFormat="1" applyFont="1" applyBorder="1" applyAlignment="1">
      <alignment wrapText="1"/>
    </xf>
    <xf numFmtId="7" fontId="21" fillId="0" borderId="4" xfId="2" applyFont="1" applyBorder="1" applyAlignment="1">
      <alignment vertical="center"/>
    </xf>
    <xf numFmtId="7" fontId="22" fillId="0" borderId="0" xfId="2" applyFont="1" applyAlignment="1">
      <alignment vertical="center"/>
    </xf>
    <xf numFmtId="7" fontId="14" fillId="0" borderId="11" xfId="2" applyFont="1" applyBorder="1" applyAlignment="1">
      <alignment horizontal="right" vertical="center"/>
    </xf>
    <xf numFmtId="8" fontId="14" fillId="0" borderId="11" xfId="1" applyNumberFormat="1" applyFont="1" applyBorder="1"/>
    <xf numFmtId="7" fontId="14" fillId="0" borderId="11" xfId="2" applyFont="1" applyBorder="1" applyAlignment="1">
      <alignment vertical="center"/>
    </xf>
    <xf numFmtId="7" fontId="14" fillId="0" borderId="11" xfId="2" applyFont="1" applyBorder="1"/>
    <xf numFmtId="7" fontId="3" fillId="0" borderId="11" xfId="2" applyFont="1" applyBorder="1" applyAlignment="1">
      <alignment vertical="center"/>
    </xf>
    <xf numFmtId="7" fontId="21" fillId="0" borderId="0" xfId="2" applyFont="1" applyAlignment="1">
      <alignment vertical="center"/>
    </xf>
    <xf numFmtId="7" fontId="23" fillId="0" borderId="0" xfId="2" applyFont="1" applyAlignment="1">
      <alignment vertical="center"/>
    </xf>
    <xf numFmtId="5" fontId="13" fillId="3" borderId="6" xfId="2" applyNumberFormat="1" applyFont="1" applyFill="1" applyBorder="1" applyAlignment="1">
      <alignment vertical="center"/>
    </xf>
    <xf numFmtId="7" fontId="4" fillId="3" borderId="0" xfId="2" applyFont="1" applyFill="1" applyAlignment="1">
      <alignment vertical="center"/>
    </xf>
    <xf numFmtId="165" fontId="6" fillId="3" borderId="0" xfId="2" applyNumberFormat="1" applyFont="1" applyFill="1" applyAlignment="1">
      <alignment horizontal="left" vertical="center"/>
    </xf>
    <xf numFmtId="37" fontId="6" fillId="3" borderId="5" xfId="2" applyNumberFormat="1" applyFont="1" applyFill="1" applyBorder="1" applyAlignment="1">
      <alignment vertical="center"/>
    </xf>
    <xf numFmtId="5" fontId="13" fillId="3" borderId="11" xfId="2" applyNumberFormat="1" applyFont="1" applyFill="1" applyBorder="1" applyAlignment="1">
      <alignment vertical="center"/>
    </xf>
    <xf numFmtId="7" fontId="7" fillId="3" borderId="0" xfId="2" applyFont="1" applyFill="1" applyAlignment="1">
      <alignment vertical="center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3" borderId="14" xfId="0" applyNumberFormat="1" applyFont="1" applyFill="1" applyBorder="1" applyAlignment="1">
      <alignment horizontal="center" vertical="top" wrapText="1"/>
    </xf>
    <xf numFmtId="49" fontId="3" fillId="0" borderId="6" xfId="2" applyNumberFormat="1" applyFont="1" applyBorder="1" applyAlignment="1">
      <alignment horizontal="center" vertical="top" wrapText="1"/>
    </xf>
    <xf numFmtId="7" fontId="4" fillId="3" borderId="11" xfId="2" applyFont="1" applyFill="1" applyBorder="1" applyAlignment="1">
      <alignment vertical="center"/>
    </xf>
    <xf numFmtId="37" fontId="6" fillId="3" borderId="6" xfId="2" applyNumberFormat="1" applyFont="1" applyFill="1" applyBorder="1" applyAlignment="1">
      <alignment vertical="center"/>
    </xf>
    <xf numFmtId="5" fontId="13" fillId="0" borderId="9" xfId="2" applyNumberFormat="1" applyFont="1" applyBorder="1" applyAlignment="1">
      <alignment vertical="center"/>
    </xf>
    <xf numFmtId="5" fontId="13" fillId="3" borderId="12" xfId="2" applyNumberFormat="1" applyFont="1" applyFill="1" applyBorder="1" applyAlignment="1">
      <alignment vertical="center"/>
    </xf>
    <xf numFmtId="5" fontId="13" fillId="0" borderId="12" xfId="2" applyNumberFormat="1" applyFont="1" applyBorder="1" applyAlignment="1">
      <alignment vertical="center"/>
    </xf>
    <xf numFmtId="7" fontId="4" fillId="0" borderId="16" xfId="2" applyFont="1" applyBorder="1" applyAlignment="1">
      <alignment vertical="center"/>
    </xf>
    <xf numFmtId="7" fontId="4" fillId="0" borderId="17" xfId="2" applyFont="1" applyBorder="1" applyAlignment="1">
      <alignment vertical="center"/>
    </xf>
    <xf numFmtId="7" fontId="4" fillId="0" borderId="18" xfId="2" applyFont="1" applyBorder="1" applyAlignment="1">
      <alignment vertical="center"/>
    </xf>
    <xf numFmtId="7" fontId="7" fillId="3" borderId="15" xfId="2" applyFont="1" applyFill="1" applyBorder="1" applyAlignment="1">
      <alignment vertical="center"/>
    </xf>
    <xf numFmtId="7" fontId="7" fillId="0" borderId="15" xfId="2" applyFont="1" applyBorder="1" applyAlignment="1">
      <alignment vertical="center"/>
    </xf>
    <xf numFmtId="7" fontId="4" fillId="0" borderId="19" xfId="2" applyFont="1" applyBorder="1" applyAlignment="1">
      <alignment vertical="center"/>
    </xf>
    <xf numFmtId="7" fontId="4" fillId="0" borderId="20" xfId="2" applyFont="1" applyBorder="1" applyAlignment="1">
      <alignment vertical="center"/>
    </xf>
    <xf numFmtId="7" fontId="4" fillId="0" borderId="21" xfId="2" applyFont="1" applyBorder="1" applyAlignment="1">
      <alignment vertical="center"/>
    </xf>
    <xf numFmtId="7" fontId="4" fillId="0" borderId="22" xfId="2" applyFont="1" applyBorder="1" applyAlignment="1">
      <alignment vertical="center"/>
    </xf>
    <xf numFmtId="0" fontId="3" fillId="3" borderId="0" xfId="2" applyNumberFormat="1" applyFont="1" applyFill="1" applyAlignment="1">
      <alignment horizontal="center" vertical="center"/>
    </xf>
    <xf numFmtId="7" fontId="3" fillId="0" borderId="0" xfId="2" applyFont="1" applyAlignment="1">
      <alignment horizontal="center" vertical="center"/>
    </xf>
    <xf numFmtId="7" fontId="11" fillId="0" borderId="0" xfId="2" applyFont="1" applyAlignment="1">
      <alignment vertical="center" wrapText="1"/>
    </xf>
    <xf numFmtId="7" fontId="20" fillId="0" borderId="12" xfId="2" applyFont="1" applyBorder="1" applyAlignment="1">
      <alignment vertical="center"/>
    </xf>
    <xf numFmtId="7" fontId="20" fillId="0" borderId="13" xfId="2" applyFont="1" applyBorder="1" applyAlignment="1">
      <alignment vertical="center"/>
    </xf>
  </cellXfs>
  <cellStyles count="4">
    <cellStyle name="Currency" xfId="1" builtinId="4"/>
    <cellStyle name="Normal" xfId="0" builtinId="0"/>
    <cellStyle name="Normal 4 2" xfId="2"/>
    <cellStyle name="Normal_4 COLUMN 199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2024\094BUD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2025\Budgets\094BUD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 Build Notes"/>
      <sheetName val="Assumptions"/>
      <sheetName val="Budget Summary"/>
      <sheetName val="Narrative"/>
      <sheetName val="Town Budget Summary"/>
      <sheetName val="4 Column"/>
      <sheetName val="Monthly Spread"/>
      <sheetName val="DSF Bud Sum"/>
      <sheetName val="DSF 4C"/>
      <sheetName val="DSF LTL"/>
      <sheetName val="DSF CAP"/>
      <sheetName val="DSF Maint Exp"/>
      <sheetName val="Residential Income"/>
      <sheetName val="Commercial Leases"/>
      <sheetName val="Misc Income Items"/>
      <sheetName val="Commissions &amp; Employ Costs"/>
      <sheetName val="Costs based on Headcount"/>
      <sheetName val="Payroll Summary"/>
      <sheetName val="Staffing - OFFICE"/>
      <sheetName val="Staffing - MAINTENANCE"/>
      <sheetName val="Staffing - FLOATERS"/>
      <sheetName val="Renting Expenses"/>
      <sheetName val="Administrative Expenses"/>
      <sheetName val="Operating Expenses"/>
      <sheetName val="NC-Taxes-Depr-Financial"/>
      <sheetName val="Maintenance Expenses"/>
      <sheetName val="Oil"/>
      <sheetName val="Gas"/>
      <sheetName val="Electric"/>
      <sheetName val="Clubhouse Electric"/>
      <sheetName val="Water"/>
      <sheetName val="Sewer"/>
      <sheetName val="Water Irrigation"/>
      <sheetName val="REPL &amp; CAP"/>
      <sheetName val="YARDI-TEMPL"/>
      <sheetName val="UBS Template"/>
      <sheetName val="DSF-TEMPL"/>
      <sheetName val="MassHousing Budget"/>
    </sheetNames>
    <sheetDataSet>
      <sheetData sheetId="0"/>
      <sheetData sheetId="1">
        <row r="14">
          <cell r="B14" t="str">
            <v>Erin Gallagher</v>
          </cell>
        </row>
      </sheetData>
      <sheetData sheetId="2"/>
      <sheetData sheetId="3"/>
      <sheetData sheetId="4"/>
      <sheetData sheetId="5">
        <row r="1">
          <cell r="D1" t="str">
            <v>Lincoln School</v>
          </cell>
        </row>
        <row r="2">
          <cell r="D2">
            <v>60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 Build Notes"/>
      <sheetName val="Assumptions"/>
      <sheetName val="Town Budget Summary"/>
      <sheetName val="Budget Summary"/>
      <sheetName val="Narrative"/>
      <sheetName val="4 Column"/>
      <sheetName val="CMC INV IMPORT"/>
      <sheetName val="Monthly Spread"/>
      <sheetName val="DSF Bud Sum"/>
      <sheetName val="DSF 4C"/>
      <sheetName val="DSF LTL"/>
      <sheetName val="DSF CAP"/>
      <sheetName val="DSF Maint Exp"/>
      <sheetName val="Residential Income"/>
      <sheetName val="Commercial Leases"/>
      <sheetName val="Misc Income Items"/>
      <sheetName val="Commissions &amp; Employ Costs"/>
      <sheetName val="Costs based on Headcount"/>
      <sheetName val="Payroll Summary"/>
      <sheetName val="Staffing - OFFICE"/>
      <sheetName val="Staffing - MAINTENANCE"/>
      <sheetName val="Staffing - FLOATERS"/>
      <sheetName val="Renting Expenses"/>
      <sheetName val="Administrative Expenses"/>
      <sheetName val="Operating Expenses"/>
      <sheetName val="Maintenance Expenses"/>
      <sheetName val="NC-Taxes-Depr-Financial"/>
      <sheetName val="Oil"/>
      <sheetName val="Gas"/>
      <sheetName val="Electric"/>
      <sheetName val="Water&amp;Sewer"/>
      <sheetName val="REPL &amp; CAP"/>
      <sheetName val="YARDI-TEMPL"/>
      <sheetName val="UBS Template"/>
      <sheetName val="DSF-TEMPL"/>
      <sheetName val="MassHousing Budget"/>
    </sheetNames>
    <sheetDataSet>
      <sheetData sheetId="0"/>
      <sheetData sheetId="1">
        <row r="3">
          <cell r="B3">
            <v>2024</v>
          </cell>
        </row>
        <row r="4">
          <cell r="B4">
            <v>2025</v>
          </cell>
        </row>
      </sheetData>
      <sheetData sheetId="2"/>
      <sheetData sheetId="3"/>
      <sheetData sheetId="4"/>
      <sheetData sheetId="5">
        <row r="6">
          <cell r="D6" t="str">
            <v>Annual Budget</v>
          </cell>
          <cell r="F6" t="str">
            <v>Projected Year End</v>
          </cell>
        </row>
        <row r="12">
          <cell r="D12">
            <v>1878320</v>
          </cell>
          <cell r="F12">
            <v>1878320</v>
          </cell>
          <cell r="G12">
            <v>1977056.1</v>
          </cell>
        </row>
        <row r="15">
          <cell r="D15">
            <v>0</v>
          </cell>
          <cell r="F15">
            <v>0</v>
          </cell>
          <cell r="G15">
            <v>0</v>
          </cell>
        </row>
        <row r="16">
          <cell r="D16">
            <v>0</v>
          </cell>
          <cell r="F16">
            <v>0</v>
          </cell>
          <cell r="G16">
            <v>0</v>
          </cell>
        </row>
        <row r="17">
          <cell r="D17">
            <v>0</v>
          </cell>
          <cell r="F17">
            <v>0</v>
          </cell>
          <cell r="G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</row>
        <row r="19">
          <cell r="D19">
            <v>0</v>
          </cell>
          <cell r="F19">
            <v>0</v>
          </cell>
          <cell r="G19">
            <v>0</v>
          </cell>
        </row>
        <row r="20">
          <cell r="D20">
            <v>0</v>
          </cell>
          <cell r="F20">
            <v>0</v>
          </cell>
          <cell r="G20">
            <v>0</v>
          </cell>
        </row>
        <row r="21">
          <cell r="D21">
            <v>0</v>
          </cell>
          <cell r="F21">
            <v>0</v>
          </cell>
          <cell r="G21">
            <v>0</v>
          </cell>
        </row>
        <row r="22">
          <cell r="D22">
            <v>0</v>
          </cell>
          <cell r="F22">
            <v>0</v>
          </cell>
          <cell r="G22">
            <v>0</v>
          </cell>
        </row>
        <row r="23">
          <cell r="D23">
            <v>0</v>
          </cell>
          <cell r="F23">
            <v>0</v>
          </cell>
          <cell r="G23">
            <v>0</v>
          </cell>
        </row>
        <row r="24">
          <cell r="D24">
            <v>0</v>
          </cell>
          <cell r="F24">
            <v>0</v>
          </cell>
          <cell r="G24">
            <v>60</v>
          </cell>
        </row>
        <row r="25">
          <cell r="D25">
            <v>0</v>
          </cell>
          <cell r="F25">
            <v>0</v>
          </cell>
          <cell r="G25">
            <v>0</v>
          </cell>
        </row>
        <row r="26">
          <cell r="D26">
            <v>0</v>
          </cell>
          <cell r="F26">
            <v>0</v>
          </cell>
          <cell r="G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</row>
        <row r="29">
          <cell r="D29">
            <v>0</v>
          </cell>
          <cell r="F29">
            <v>0</v>
          </cell>
          <cell r="G29">
            <v>0</v>
          </cell>
        </row>
        <row r="30">
          <cell r="D30">
            <v>0</v>
          </cell>
          <cell r="F30">
            <v>0</v>
          </cell>
          <cell r="G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  <cell r="G32">
            <v>0</v>
          </cell>
        </row>
        <row r="33">
          <cell r="D33">
            <v>0</v>
          </cell>
          <cell r="F33">
            <v>0</v>
          </cell>
          <cell r="G33">
            <v>0</v>
          </cell>
        </row>
        <row r="34">
          <cell r="D34">
            <v>0</v>
          </cell>
          <cell r="F34">
            <v>0</v>
          </cell>
          <cell r="G34">
            <v>0</v>
          </cell>
        </row>
        <row r="44">
          <cell r="D44">
            <v>18788</v>
          </cell>
          <cell r="F44">
            <v>0</v>
          </cell>
          <cell r="G44">
            <v>9885.2805000000008</v>
          </cell>
        </row>
        <row r="54">
          <cell r="D54">
            <v>5844</v>
          </cell>
          <cell r="F54">
            <v>5844</v>
          </cell>
          <cell r="G54">
            <v>5844</v>
          </cell>
        </row>
        <row r="60">
          <cell r="D60">
            <v>-780</v>
          </cell>
          <cell r="F60">
            <v>-1883</v>
          </cell>
          <cell r="G60">
            <v>-1177.6403999999995</v>
          </cell>
        </row>
        <row r="86">
          <cell r="D86">
            <v>1296</v>
          </cell>
          <cell r="F86">
            <v>776</v>
          </cell>
          <cell r="G86">
            <v>1352</v>
          </cell>
        </row>
        <row r="109">
          <cell r="D109">
            <v>29209</v>
          </cell>
          <cell r="F109">
            <v>26188</v>
          </cell>
          <cell r="G109">
            <v>30472.710000000003</v>
          </cell>
        </row>
        <row r="121">
          <cell r="D121">
            <v>195100</v>
          </cell>
          <cell r="F121">
            <v>197882</v>
          </cell>
          <cell r="G121">
            <v>199483.19080008549</v>
          </cell>
        </row>
        <row r="138">
          <cell r="D138">
            <v>63864</v>
          </cell>
          <cell r="F138">
            <v>56983</v>
          </cell>
          <cell r="G138">
            <v>65225.21</v>
          </cell>
        </row>
        <row r="153">
          <cell r="D153">
            <v>119055</v>
          </cell>
          <cell r="F153">
            <v>105043</v>
          </cell>
          <cell r="G153">
            <v>115459.2975</v>
          </cell>
        </row>
        <row r="195">
          <cell r="D195">
            <v>119814</v>
          </cell>
          <cell r="F195">
            <v>81667</v>
          </cell>
          <cell r="G195">
            <v>112028.02</v>
          </cell>
        </row>
        <row r="202">
          <cell r="D202">
            <v>55000</v>
          </cell>
          <cell r="F202">
            <v>55000</v>
          </cell>
          <cell r="G202">
            <v>56923.208542574997</v>
          </cell>
        </row>
        <row r="203">
          <cell r="D203">
            <v>0</v>
          </cell>
          <cell r="F203">
            <v>0</v>
          </cell>
          <cell r="G203">
            <v>0</v>
          </cell>
        </row>
        <row r="204">
          <cell r="D204">
            <v>12684</v>
          </cell>
          <cell r="F204">
            <v>13896</v>
          </cell>
          <cell r="G204">
            <v>21639</v>
          </cell>
        </row>
        <row r="205">
          <cell r="D205">
            <v>4500</v>
          </cell>
          <cell r="F205">
            <v>4500</v>
          </cell>
          <cell r="G205">
            <v>4500</v>
          </cell>
        </row>
        <row r="206">
          <cell r="D206">
            <v>874</v>
          </cell>
          <cell r="F206">
            <v>1867</v>
          </cell>
          <cell r="G206">
            <v>1902</v>
          </cell>
        </row>
        <row r="208">
          <cell r="D208">
            <v>0</v>
          </cell>
          <cell r="F208">
            <v>0</v>
          </cell>
          <cell r="G208">
            <v>0</v>
          </cell>
        </row>
        <row r="209">
          <cell r="D209">
            <v>58358</v>
          </cell>
          <cell r="F209">
            <v>60441</v>
          </cell>
          <cell r="G209">
            <v>83228</v>
          </cell>
        </row>
        <row r="210">
          <cell r="D210">
            <v>0</v>
          </cell>
          <cell r="F210">
            <v>0</v>
          </cell>
          <cell r="G210">
            <v>0</v>
          </cell>
        </row>
        <row r="216">
          <cell r="D216">
            <v>87906</v>
          </cell>
          <cell r="F216">
            <v>87906</v>
          </cell>
          <cell r="G216">
            <v>95377</v>
          </cell>
        </row>
        <row r="217">
          <cell r="D217">
            <v>400131</v>
          </cell>
          <cell r="F217">
            <v>400130</v>
          </cell>
          <cell r="G217">
            <v>382851.99999999994</v>
          </cell>
        </row>
        <row r="228">
          <cell r="G228">
            <v>0</v>
          </cell>
        </row>
        <row r="272">
          <cell r="D272">
            <v>74176</v>
          </cell>
          <cell r="F272">
            <v>49636</v>
          </cell>
          <cell r="G272">
            <v>59010</v>
          </cell>
        </row>
        <row r="279">
          <cell r="D279">
            <v>372000</v>
          </cell>
          <cell r="F279">
            <v>513478</v>
          </cell>
          <cell r="G279">
            <v>372000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2"/>
  <sheetViews>
    <sheetView tabSelected="1" topLeftCell="A54" workbookViewId="0">
      <pane xSplit="1" topLeftCell="B1" activePane="topRight" state="frozen"/>
      <selection pane="topRight" activeCell="F62" sqref="F62"/>
    </sheetView>
  </sheetViews>
  <sheetFormatPr defaultColWidth="11" defaultRowHeight="14.25"/>
  <cols>
    <col min="1" max="1" width="42.875" style="1" customWidth="1"/>
    <col min="2" max="3" width="15.625" style="1" customWidth="1"/>
    <col min="4" max="4" width="17.875" style="1" customWidth="1"/>
    <col min="5" max="5" width="16.75" style="1" customWidth="1"/>
    <col min="6" max="6" width="22.375" style="1" customWidth="1"/>
    <col min="7" max="7" width="20.375" style="1" bestFit="1" customWidth="1"/>
    <col min="8" max="8" width="10.75" style="1" customWidth="1"/>
    <col min="9" max="16384" width="11" style="1"/>
  </cols>
  <sheetData>
    <row r="1" spans="1:7" s="85" customFormat="1" ht="15">
      <c r="A1" s="108">
        <v>2025</v>
      </c>
      <c r="B1" s="108"/>
      <c r="C1" s="108"/>
      <c r="D1" s="108"/>
      <c r="E1" s="108"/>
    </row>
    <row r="2" spans="1:7" ht="18" customHeight="1">
      <c r="A2" s="109" t="s">
        <v>0</v>
      </c>
      <c r="B2" s="109"/>
      <c r="C2" s="109"/>
      <c r="D2" s="109"/>
      <c r="E2" s="109"/>
    </row>
    <row r="3" spans="1:7" ht="8.1" customHeight="1"/>
    <row r="4" spans="1:7" ht="18" customHeight="1">
      <c r="A4" s="2" t="s">
        <v>1</v>
      </c>
      <c r="B4" s="3" t="str">
        <f>'[1]4 Column'!D1</f>
        <v>Lincoln School</v>
      </c>
      <c r="C4" s="4"/>
    </row>
    <row r="5" spans="1:7" ht="18" customHeight="1">
      <c r="A5" s="2" t="s">
        <v>2</v>
      </c>
      <c r="B5" s="5">
        <f>'[1]4 Column'!D2</f>
        <v>60</v>
      </c>
    </row>
    <row r="6" spans="1:7" ht="18" customHeight="1">
      <c r="A6" s="2" t="s">
        <v>3</v>
      </c>
      <c r="B6" s="86">
        <v>45595</v>
      </c>
      <c r="C6" s="6" t="s">
        <v>4</v>
      </c>
    </row>
    <row r="7" spans="1:7" ht="18" customHeight="1">
      <c r="A7" s="2" t="s">
        <v>5</v>
      </c>
      <c r="B7" s="7" t="str">
        <f>[1]Assumptions!B14</f>
        <v>Erin Gallagher</v>
      </c>
      <c r="C7" s="8"/>
    </row>
    <row r="8" spans="1:7" ht="8.1" customHeight="1">
      <c r="B8" s="6"/>
    </row>
    <row r="9" spans="1:7" ht="14.45" customHeight="1">
      <c r="B9" s="9">
        <f>[2]Assumptions!B3</f>
        <v>2024</v>
      </c>
      <c r="C9" s="10">
        <f>B9</f>
        <v>2024</v>
      </c>
      <c r="D9" s="11">
        <f>[2]Assumptions!B4</f>
        <v>2025</v>
      </c>
      <c r="E9" s="10">
        <f>D9</f>
        <v>2025</v>
      </c>
    </row>
    <row r="10" spans="1:7" ht="30">
      <c r="B10" s="90" t="str">
        <f>'[2]4 Column'!D6</f>
        <v>Annual Budget</v>
      </c>
      <c r="C10" s="91" t="str">
        <f>'[2]4 Column'!F6</f>
        <v>Projected Year End</v>
      </c>
      <c r="D10" s="92" t="s">
        <v>77</v>
      </c>
      <c r="E10" s="93" t="s">
        <v>6</v>
      </c>
    </row>
    <row r="11" spans="1:7" ht="18" customHeight="1">
      <c r="A11" s="12" t="s">
        <v>7</v>
      </c>
      <c r="B11" s="13">
        <f>'[2]4 Column'!D12+'[2]4 Column'!D18+'[2]4 Column'!D16</f>
        <v>1878320</v>
      </c>
      <c r="C11" s="13">
        <f>'[2]4 Column'!F12+'[2]4 Column'!F18+'[2]4 Column'!F16</f>
        <v>1878320</v>
      </c>
      <c r="D11" s="13">
        <f>'[2]4 Column'!G12+'[2]4 Column'!G18+'[2]4 Column'!G16</f>
        <v>1977056.1</v>
      </c>
      <c r="E11" s="14">
        <f>IF($B$5=0,$B$5,(+D11/$B$5))</f>
        <v>32950.935000000005</v>
      </c>
    </row>
    <row r="12" spans="1:7" ht="6" customHeight="1">
      <c r="A12" s="15"/>
      <c r="B12" s="16"/>
      <c r="C12" s="16"/>
      <c r="D12" s="16"/>
      <c r="E12" s="17"/>
    </row>
    <row r="13" spans="1:7" s="21" customFormat="1" ht="15" customHeight="1">
      <c r="A13" s="18" t="s">
        <v>8</v>
      </c>
      <c r="B13" s="19">
        <f>IF(B14=0,B14,(+B14/B11))</f>
        <v>1.0002555475105413E-2</v>
      </c>
      <c r="C13" s="19">
        <f>IF(C14=0,C14,(+C14/C11))</f>
        <v>0</v>
      </c>
      <c r="D13" s="19">
        <f>IF(D14=0,D14,(+D14/D11))</f>
        <v>5.0000000000000001E-3</v>
      </c>
      <c r="E13" s="20" t="s">
        <v>4</v>
      </c>
    </row>
    <row r="14" spans="1:7" ht="15" customHeight="1">
      <c r="A14" s="15" t="s">
        <v>9</v>
      </c>
      <c r="B14" s="14">
        <f>'[2]4 Column'!D44</f>
        <v>18788</v>
      </c>
      <c r="C14" s="14">
        <f>'[2]4 Column'!F44</f>
        <v>0</v>
      </c>
      <c r="D14" s="14">
        <f>'[2]4 Column'!G44</f>
        <v>9885.2805000000008</v>
      </c>
      <c r="E14" s="14">
        <f>IF($B$5=0,$B$5,(+D14/$B$5))</f>
        <v>164.75467500000002</v>
      </c>
      <c r="G14" s="8"/>
    </row>
    <row r="15" spans="1:7" ht="4.9000000000000004" hidden="1" customHeight="1">
      <c r="A15" s="22" t="s">
        <v>10</v>
      </c>
      <c r="B15" s="23"/>
      <c r="C15" s="23"/>
      <c r="D15" s="23"/>
      <c r="E15" s="23">
        <f>IF($B$5=0,$B$5,(+D15/$B$5))</f>
        <v>0</v>
      </c>
    </row>
    <row r="16" spans="1:7" ht="21.6" hidden="1" customHeight="1">
      <c r="A16" s="22" t="s">
        <v>11</v>
      </c>
      <c r="B16" s="23">
        <f>'[2]4 Column'!D38</f>
        <v>0</v>
      </c>
      <c r="C16" s="23">
        <f>'[2]4 Column'!F38</f>
        <v>0</v>
      </c>
      <c r="D16" s="23">
        <f>'[2]4 Column'!G38</f>
        <v>0</v>
      </c>
      <c r="E16" s="23">
        <f>IF($B$5=0,$B$5,(+D16/$B$5))</f>
        <v>0</v>
      </c>
    </row>
    <row r="17" spans="1:8" ht="16.899999999999999" hidden="1" customHeight="1">
      <c r="A17" s="15"/>
      <c r="B17" s="24"/>
      <c r="C17" s="24"/>
      <c r="D17" s="24"/>
      <c r="E17" s="24"/>
    </row>
    <row r="18" spans="1:8" ht="15" customHeight="1">
      <c r="A18" s="15" t="s">
        <v>12</v>
      </c>
      <c r="B18" s="25">
        <f>B11-SUM(B14:B16)</f>
        <v>1859532</v>
      </c>
      <c r="C18" s="25">
        <f>C11-SUM(C14:C16)</f>
        <v>1878320</v>
      </c>
      <c r="D18" s="25">
        <f>D11-SUM(D14:D16)</f>
        <v>1967170.8195</v>
      </c>
      <c r="E18" s="26">
        <f>IF($B$5=0,$B$5,(+D18/$B$5))</f>
        <v>32786.180325000001</v>
      </c>
      <c r="F18" s="1" t="s">
        <v>4</v>
      </c>
    </row>
    <row r="19" spans="1:8" ht="6" customHeight="1">
      <c r="A19" s="15"/>
      <c r="B19" s="17"/>
      <c r="C19" s="17"/>
      <c r="D19" s="17"/>
      <c r="E19" s="17"/>
    </row>
    <row r="20" spans="1:8" ht="15" customHeight="1">
      <c r="A20" s="15" t="s">
        <v>13</v>
      </c>
      <c r="B20" s="14">
        <f>'[2]4 Column'!D15+'[2]4 Column'!D17+SUM('[2]4 Column'!D19:D23)+SUM('[2]4 Column'!D24:D34)+'[2]4 Column'!D54+'[2]4 Column'!D60</f>
        <v>5064</v>
      </c>
      <c r="C20" s="14">
        <f>'[2]4 Column'!F15+'[2]4 Column'!F17+SUM('[2]4 Column'!F19:F23)+SUM('[2]4 Column'!F24:F34)+'[2]4 Column'!F54+'[2]4 Column'!F60</f>
        <v>3961</v>
      </c>
      <c r="D20" s="14">
        <f>'[2]4 Column'!G15+'[2]4 Column'!G17+SUM('[2]4 Column'!G19:G23)+SUM('[2]4 Column'!G24:G34)+'[2]4 Column'!G54+'[2]4 Column'!G60</f>
        <v>4726.3596000000007</v>
      </c>
      <c r="E20" s="14">
        <f>IF($B$5=0,$B$5,(+D20/$B$5))</f>
        <v>78.772660000000016</v>
      </c>
      <c r="H20" s="1" t="s">
        <v>4</v>
      </c>
    </row>
    <row r="21" spans="1:8" ht="8.1" customHeight="1">
      <c r="A21" s="15"/>
      <c r="B21" s="24"/>
      <c r="C21" s="24"/>
      <c r="D21" s="24"/>
      <c r="E21" s="24"/>
    </row>
    <row r="22" spans="1:8" ht="18" customHeight="1">
      <c r="A22" s="12" t="s">
        <v>14</v>
      </c>
      <c r="B22" s="25">
        <f>SUM(B18:B20)</f>
        <v>1864596</v>
      </c>
      <c r="C22" s="25">
        <f>SUM(C18:C20)</f>
        <v>1882281</v>
      </c>
      <c r="D22" s="25">
        <f>SUM(D18:D20)</f>
        <v>1971897.1791000001</v>
      </c>
      <c r="E22" s="26">
        <f>IF($B$5=0,$B$5,(+D22/$B$5))</f>
        <v>32864.952985000004</v>
      </c>
    </row>
    <row r="23" spans="1:8" ht="6" customHeight="1">
      <c r="A23" s="15"/>
      <c r="B23" s="17"/>
      <c r="C23" s="17"/>
      <c r="D23" s="17"/>
      <c r="E23" s="17"/>
    </row>
    <row r="24" spans="1:8" ht="18" customHeight="1">
      <c r="A24" s="12" t="s">
        <v>15</v>
      </c>
      <c r="B24" s="17"/>
      <c r="C24" s="17"/>
      <c r="D24" s="17"/>
      <c r="E24" s="17"/>
    </row>
    <row r="25" spans="1:8" ht="6" customHeight="1">
      <c r="A25" s="15"/>
      <c r="B25" s="17"/>
      <c r="C25" s="17"/>
      <c r="D25" s="17"/>
      <c r="E25" s="17"/>
    </row>
    <row r="26" spans="1:8" ht="15" customHeight="1">
      <c r="A26" s="15" t="s">
        <v>16</v>
      </c>
      <c r="B26" s="14">
        <f>'[2]4 Column'!D86</f>
        <v>1296</v>
      </c>
      <c r="C26" s="14">
        <f>'[2]4 Column'!F86</f>
        <v>776</v>
      </c>
      <c r="D26" s="14">
        <f>'[2]4 Column'!G86</f>
        <v>1352</v>
      </c>
      <c r="E26" s="14">
        <f t="shared" ref="E26:E32" si="0">IF($B$5=0,$B$5,(+D26/$B$5))</f>
        <v>22.533333333333335</v>
      </c>
    </row>
    <row r="27" spans="1:8" ht="15" customHeight="1">
      <c r="A27" s="15" t="s">
        <v>17</v>
      </c>
      <c r="B27" s="14">
        <f>'[2]4 Column'!D109</f>
        <v>29209</v>
      </c>
      <c r="C27" s="14">
        <f>'[2]4 Column'!F109</f>
        <v>26188</v>
      </c>
      <c r="D27" s="14">
        <f>'[2]4 Column'!G109</f>
        <v>30472.710000000003</v>
      </c>
      <c r="E27" s="14">
        <f t="shared" si="0"/>
        <v>507.87850000000003</v>
      </c>
    </row>
    <row r="28" spans="1:8" ht="15" customHeight="1">
      <c r="A28" s="15" t="s">
        <v>18</v>
      </c>
      <c r="B28" s="87">
        <f>'[2]4 Column'!D121</f>
        <v>195100</v>
      </c>
      <c r="C28" s="87">
        <f>'[2]4 Column'!F121</f>
        <v>197882</v>
      </c>
      <c r="D28" s="87">
        <f>'[2]4 Column'!G121</f>
        <v>199483.19080008549</v>
      </c>
      <c r="E28" s="14">
        <f t="shared" si="0"/>
        <v>3324.7198466680916</v>
      </c>
      <c r="F28" s="85"/>
    </row>
    <row r="29" spans="1:8" ht="15" customHeight="1">
      <c r="A29" s="15" t="s">
        <v>19</v>
      </c>
      <c r="B29" s="14">
        <f>'[2]4 Column'!D138</f>
        <v>63864</v>
      </c>
      <c r="C29" s="14">
        <f>'[2]4 Column'!F138</f>
        <v>56983</v>
      </c>
      <c r="D29" s="14">
        <f>'[2]4 Column'!G138</f>
        <v>65225.21</v>
      </c>
      <c r="E29" s="14">
        <f t="shared" si="0"/>
        <v>1087.0868333333333</v>
      </c>
    </row>
    <row r="30" spans="1:8" ht="15" customHeight="1">
      <c r="A30" s="15" t="s">
        <v>20</v>
      </c>
      <c r="B30" s="14">
        <f>'[2]4 Column'!D153</f>
        <v>119055</v>
      </c>
      <c r="C30" s="14">
        <f>'[2]4 Column'!F153</f>
        <v>105043</v>
      </c>
      <c r="D30" s="14">
        <f>'[2]4 Column'!G153</f>
        <v>115459.2975</v>
      </c>
      <c r="E30" s="14">
        <f t="shared" si="0"/>
        <v>1924.321625</v>
      </c>
    </row>
    <row r="31" spans="1:8" ht="15" customHeight="1">
      <c r="A31" s="15" t="s">
        <v>21</v>
      </c>
      <c r="B31" s="87">
        <f>'[2]4 Column'!D195</f>
        <v>119814</v>
      </c>
      <c r="C31" s="87">
        <f>'[2]4 Column'!F195</f>
        <v>81667</v>
      </c>
      <c r="D31" s="14">
        <f>'[2]4 Column'!G195</f>
        <v>112028.02</v>
      </c>
      <c r="E31" s="14">
        <f t="shared" si="0"/>
        <v>1867.1336666666668</v>
      </c>
      <c r="F31" s="21"/>
    </row>
    <row r="32" spans="1:8" ht="15" customHeight="1">
      <c r="A32" s="15" t="s">
        <v>22</v>
      </c>
      <c r="B32" s="14">
        <f>'[2]4 Column'!D272</f>
        <v>74176</v>
      </c>
      <c r="C32" s="14">
        <f>'[2]4 Column'!F272</f>
        <v>49636</v>
      </c>
      <c r="D32" s="14">
        <f>'[2]4 Column'!G272</f>
        <v>59010</v>
      </c>
      <c r="E32" s="14">
        <f t="shared" si="0"/>
        <v>983.5</v>
      </c>
    </row>
    <row r="33" spans="1:6" ht="9" customHeight="1">
      <c r="A33" s="15"/>
      <c r="B33" s="24"/>
      <c r="C33" s="24"/>
      <c r="D33" s="24"/>
      <c r="E33" s="24"/>
    </row>
    <row r="34" spans="1:6" ht="18" customHeight="1">
      <c r="A34" s="12" t="s">
        <v>23</v>
      </c>
      <c r="B34" s="25">
        <f>SUM(B26:B32)</f>
        <v>602514</v>
      </c>
      <c r="C34" s="25">
        <f>SUM(C26:C32)</f>
        <v>518175</v>
      </c>
      <c r="D34" s="25">
        <f>SUM(D26:D32)</f>
        <v>583030.42830008548</v>
      </c>
      <c r="E34" s="26">
        <f>IF($B$5=0,$B$5,(+D34/$B$5))</f>
        <v>9717.1738050014246</v>
      </c>
    </row>
    <row r="35" spans="1:6" ht="6" customHeight="1">
      <c r="A35" s="15"/>
      <c r="B35" s="16"/>
      <c r="C35" s="16"/>
      <c r="D35" s="16"/>
      <c r="E35" s="16"/>
    </row>
    <row r="36" spans="1:6" ht="15" customHeight="1">
      <c r="A36" s="15" t="s">
        <v>24</v>
      </c>
      <c r="B36" s="14">
        <f>'[2]4 Column'!D202</f>
        <v>55000</v>
      </c>
      <c r="C36" s="14">
        <f>'[2]4 Column'!F202</f>
        <v>55000</v>
      </c>
      <c r="D36" s="14">
        <f>'[2]4 Column'!G202</f>
        <v>56923.208542574997</v>
      </c>
      <c r="E36" s="14">
        <f t="shared" ref="E36:E42" si="1">IF($B$5=0,$B$5,(+D36/$B$5))</f>
        <v>948.72014237625001</v>
      </c>
    </row>
    <row r="37" spans="1:6" ht="15" customHeight="1">
      <c r="A37" s="15" t="s">
        <v>25</v>
      </c>
      <c r="B37" s="14">
        <f>'[2]4 Column'!D203</f>
        <v>0</v>
      </c>
      <c r="C37" s="14">
        <f>'[2]4 Column'!F203</f>
        <v>0</v>
      </c>
      <c r="D37" s="14">
        <f>'[2]4 Column'!G203</f>
        <v>0</v>
      </c>
      <c r="E37" s="14">
        <f t="shared" si="1"/>
        <v>0</v>
      </c>
    </row>
    <row r="38" spans="1:6" ht="15" customHeight="1">
      <c r="A38" s="15" t="s">
        <v>26</v>
      </c>
      <c r="B38" s="14">
        <f>'[2]4 Column'!D204</f>
        <v>12684</v>
      </c>
      <c r="C38" s="14">
        <f>'[2]4 Column'!F204</f>
        <v>13896</v>
      </c>
      <c r="D38" s="87">
        <f>'[2]4 Column'!G204</f>
        <v>21639</v>
      </c>
      <c r="E38" s="14">
        <f t="shared" si="1"/>
        <v>360.65</v>
      </c>
      <c r="F38" s="89"/>
    </row>
    <row r="39" spans="1:6" ht="15" customHeight="1">
      <c r="A39" s="15" t="s">
        <v>27</v>
      </c>
      <c r="B39" s="14">
        <f>'[2]4 Column'!D205</f>
        <v>4500</v>
      </c>
      <c r="C39" s="14">
        <f>'[2]4 Column'!F205</f>
        <v>4500</v>
      </c>
      <c r="D39" s="14">
        <f>'[2]4 Column'!G205</f>
        <v>4500</v>
      </c>
      <c r="E39" s="14">
        <f t="shared" si="1"/>
        <v>75</v>
      </c>
    </row>
    <row r="40" spans="1:6" ht="15" customHeight="1">
      <c r="A40" s="15" t="s">
        <v>28</v>
      </c>
      <c r="B40" s="14">
        <f>'[2]4 Column'!D206</f>
        <v>874</v>
      </c>
      <c r="C40" s="14">
        <f>'[2]4 Column'!F206</f>
        <v>1867</v>
      </c>
      <c r="D40" s="14">
        <f>'[2]4 Column'!G206</f>
        <v>1902</v>
      </c>
      <c r="E40" s="14">
        <f t="shared" si="1"/>
        <v>31.7</v>
      </c>
    </row>
    <row r="41" spans="1:6" ht="15" customHeight="1">
      <c r="A41" s="15" t="s">
        <v>29</v>
      </c>
      <c r="B41" s="14">
        <f>'[2]4 Column'!D208</f>
        <v>0</v>
      </c>
      <c r="C41" s="14">
        <f>'[2]4 Column'!F208</f>
        <v>0</v>
      </c>
      <c r="D41" s="14">
        <f>'[2]4 Column'!G208</f>
        <v>0</v>
      </c>
      <c r="E41" s="14">
        <f t="shared" si="1"/>
        <v>0</v>
      </c>
    </row>
    <row r="42" spans="1:6" ht="15" customHeight="1">
      <c r="A42" s="15" t="s">
        <v>30</v>
      </c>
      <c r="B42" s="14">
        <f>SUM('[2]4 Column'!D209:D210)</f>
        <v>58358</v>
      </c>
      <c r="C42" s="14">
        <f>SUM('[2]4 Column'!F209:F210)</f>
        <v>60441</v>
      </c>
      <c r="D42" s="87">
        <f>SUM('[2]4 Column'!G209:G210)</f>
        <v>83228</v>
      </c>
      <c r="E42" s="14">
        <f t="shared" si="1"/>
        <v>1387.1333333333334</v>
      </c>
      <c r="F42" s="89"/>
    </row>
    <row r="43" spans="1:6" ht="6" customHeight="1">
      <c r="A43" s="15"/>
      <c r="B43" s="24"/>
      <c r="C43" s="24"/>
      <c r="D43" s="24"/>
      <c r="E43" s="24"/>
    </row>
    <row r="44" spans="1:6" ht="18" customHeight="1">
      <c r="A44" s="12" t="s">
        <v>31</v>
      </c>
      <c r="B44" s="25">
        <f>SUM(B36:B43)</f>
        <v>131416</v>
      </c>
      <c r="C44" s="25">
        <f>SUM(C36:C43)</f>
        <v>135704</v>
      </c>
      <c r="D44" s="25">
        <f>SUM(D36:D43)</f>
        <v>168192.20854257501</v>
      </c>
      <c r="E44" s="26">
        <f>IF($B$5=0,$B$5,(+D44/$B$5))</f>
        <v>2803.2034757095835</v>
      </c>
    </row>
    <row r="45" spans="1:6" ht="6" customHeight="1">
      <c r="A45" s="15"/>
      <c r="B45" s="16"/>
      <c r="C45" s="16"/>
      <c r="D45" s="16"/>
      <c r="E45" s="16"/>
      <c r="F45" s="107"/>
    </row>
    <row r="46" spans="1:6" ht="30">
      <c r="A46" s="27" t="s">
        <v>32</v>
      </c>
      <c r="B46" s="17">
        <f>B34+B44</f>
        <v>733930</v>
      </c>
      <c r="C46" s="17">
        <f>C34+C44</f>
        <v>653879</v>
      </c>
      <c r="D46" s="17">
        <f>D34+D44</f>
        <v>751222.63684266049</v>
      </c>
      <c r="E46" s="14">
        <f>IF($B$5=0,$B$5,(+D46/$B$5))</f>
        <v>12520.377280711009</v>
      </c>
    </row>
    <row r="47" spans="1:6" ht="6" customHeight="1">
      <c r="A47" s="15"/>
      <c r="B47" s="16"/>
      <c r="C47" s="16"/>
      <c r="D47" s="16"/>
      <c r="E47" s="14"/>
    </row>
    <row r="48" spans="1:6" ht="15" customHeight="1">
      <c r="A48" s="15" t="s">
        <v>33</v>
      </c>
      <c r="B48" s="14">
        <f>'[2]4 Column'!D216</f>
        <v>87906</v>
      </c>
      <c r="C48" s="14">
        <f>'[2]4 Column'!F216</f>
        <v>87906</v>
      </c>
      <c r="D48" s="14">
        <f>'[2]4 Column'!G216</f>
        <v>95377</v>
      </c>
      <c r="E48" s="14">
        <f>IF($B$5=0,$B$5,(+D48/$B$5))</f>
        <v>1589.6166666666666</v>
      </c>
      <c r="F48" s="106"/>
    </row>
    <row r="49" spans="1:10" ht="15" customHeight="1">
      <c r="A49" s="15" t="s">
        <v>34</v>
      </c>
      <c r="B49" s="14">
        <f>'[2]4 Column'!D217</f>
        <v>400131</v>
      </c>
      <c r="C49" s="14">
        <f>'[2]4 Column'!F217</f>
        <v>400130</v>
      </c>
      <c r="D49" s="14">
        <f>'[2]4 Column'!G217</f>
        <v>382851.99999999994</v>
      </c>
      <c r="E49" s="14">
        <f>IF($B$5=0,$B$5,(+D49/$B$5))</f>
        <v>6380.8666666666659</v>
      </c>
    </row>
    <row r="50" spans="1:10" ht="15" customHeight="1">
      <c r="A50" s="15" t="s">
        <v>35</v>
      </c>
      <c r="B50" s="14">
        <v>0</v>
      </c>
      <c r="C50" s="14">
        <v>0</v>
      </c>
      <c r="D50" s="14">
        <v>0</v>
      </c>
      <c r="E50" s="14">
        <v>0</v>
      </c>
      <c r="G50" s="110"/>
      <c r="H50" s="110"/>
      <c r="I50" s="110"/>
      <c r="J50" s="110"/>
    </row>
    <row r="51" spans="1:10" ht="15" customHeight="1">
      <c r="A51" s="15" t="s">
        <v>36</v>
      </c>
      <c r="B51" s="14">
        <f>'[2]4 Column'!D279</f>
        <v>372000</v>
      </c>
      <c r="C51" s="14">
        <f>'[2]4 Column'!F279</f>
        <v>513478</v>
      </c>
      <c r="D51" s="14">
        <f>'[2]4 Column'!G279</f>
        <v>372000</v>
      </c>
      <c r="E51" s="14">
        <f>IF($B$5=0,$B$5,(+D51/$B$5))</f>
        <v>6200</v>
      </c>
      <c r="G51" s="110"/>
      <c r="H51" s="110"/>
      <c r="I51" s="110"/>
      <c r="J51" s="110"/>
    </row>
    <row r="52" spans="1:10" ht="15" hidden="1" customHeight="1">
      <c r="B52" s="14">
        <v>0</v>
      </c>
      <c r="C52" s="28">
        <v>0</v>
      </c>
      <c r="D52" s="28">
        <f>'[2]4 Column'!G228</f>
        <v>0</v>
      </c>
      <c r="E52" s="14">
        <f>IF($B$5=0,$B$5,(+D52/$B$5))</f>
        <v>0</v>
      </c>
      <c r="G52" s="110"/>
      <c r="H52" s="110"/>
      <c r="I52" s="110"/>
      <c r="J52" s="110"/>
    </row>
    <row r="53" spans="1:10" ht="8.25" customHeight="1">
      <c r="A53" s="15"/>
      <c r="B53" s="14"/>
      <c r="C53" s="14"/>
      <c r="D53" s="14"/>
      <c r="E53" s="14"/>
    </row>
    <row r="54" spans="1:10" ht="15" customHeight="1" thickBot="1">
      <c r="A54" s="12" t="s">
        <v>37</v>
      </c>
      <c r="B54" s="29">
        <f>SUM(B48:B53)</f>
        <v>860037</v>
      </c>
      <c r="C54" s="29">
        <f t="shared" ref="C54:D54" si="2">SUM(C48:C53)</f>
        <v>1001514</v>
      </c>
      <c r="D54" s="29">
        <f t="shared" si="2"/>
        <v>850229</v>
      </c>
      <c r="E54" s="29">
        <f t="shared" ref="E54" si="3">IF($B$5=0,$B$5,(+D54/$B$5))</f>
        <v>14170.483333333334</v>
      </c>
    </row>
    <row r="55" spans="1:10" ht="4.5" customHeight="1" thickTop="1">
      <c r="A55" s="15"/>
      <c r="B55" s="14"/>
      <c r="C55" s="14"/>
      <c r="D55" s="14"/>
      <c r="E55" s="14"/>
    </row>
    <row r="56" spans="1:10" ht="2.25" customHeight="1">
      <c r="A56" s="15"/>
      <c r="B56" s="14"/>
      <c r="C56" s="14"/>
      <c r="D56" s="14"/>
      <c r="E56" s="14"/>
    </row>
    <row r="57" spans="1:10" ht="15" customHeight="1">
      <c r="A57" s="12" t="s">
        <v>38</v>
      </c>
      <c r="B57" s="14"/>
      <c r="C57" s="14"/>
      <c r="D57" s="14"/>
      <c r="E57" s="14"/>
    </row>
    <row r="58" spans="1:10" ht="15" customHeight="1">
      <c r="A58" s="15" t="s">
        <v>39</v>
      </c>
      <c r="B58" s="14">
        <v>0</v>
      </c>
      <c r="C58" s="14">
        <v>0</v>
      </c>
      <c r="D58" s="30">
        <v>200482</v>
      </c>
      <c r="E58" s="14">
        <f t="shared" ref="E58:E60" si="4">IF($B$5=0,$B$5,(+D58/$B$5))</f>
        <v>3341.3666666666668</v>
      </c>
    </row>
    <row r="59" spans="1:10" ht="15" hidden="1" customHeight="1">
      <c r="A59" s="15" t="s">
        <v>40</v>
      </c>
      <c r="B59" s="14">
        <v>0</v>
      </c>
      <c r="C59" s="14">
        <v>0</v>
      </c>
      <c r="D59" s="31">
        <v>0</v>
      </c>
      <c r="E59" s="14">
        <v>0</v>
      </c>
    </row>
    <row r="60" spans="1:10" ht="17.25" customHeight="1">
      <c r="A60" s="15" t="s">
        <v>41</v>
      </c>
      <c r="B60" s="95">
        <v>4130</v>
      </c>
      <c r="C60" s="95">
        <v>4130</v>
      </c>
      <c r="D60" s="24">
        <v>4130</v>
      </c>
      <c r="E60" s="24">
        <f t="shared" si="4"/>
        <v>68.833333333333329</v>
      </c>
      <c r="F60" s="89"/>
    </row>
    <row r="61" spans="1:10" ht="24" hidden="1" customHeight="1">
      <c r="A61" s="15"/>
      <c r="B61" s="14"/>
      <c r="C61" s="14"/>
      <c r="D61" s="14"/>
      <c r="E61" s="14"/>
    </row>
    <row r="62" spans="1:10" ht="18" customHeight="1">
      <c r="A62" s="12" t="s">
        <v>42</v>
      </c>
      <c r="B62" s="25">
        <f>B46+B54+B58+B60</f>
        <v>1598097</v>
      </c>
      <c r="C62" s="25">
        <f t="shared" ref="C62:D62" si="5">C46+C54+C58+C60</f>
        <v>1659523</v>
      </c>
      <c r="D62" s="25">
        <f t="shared" si="5"/>
        <v>1806063.6368426606</v>
      </c>
      <c r="E62" s="26">
        <f>IF($B$5=0,$B$5,(+D62/$B$5))</f>
        <v>30101.060614044345</v>
      </c>
    </row>
    <row r="63" spans="1:10" ht="6" customHeight="1">
      <c r="A63" s="15"/>
      <c r="B63" s="17"/>
      <c r="C63" s="32"/>
      <c r="D63" s="17"/>
      <c r="E63" s="17"/>
    </row>
    <row r="64" spans="1:10" ht="18" customHeight="1">
      <c r="A64" s="33" t="s">
        <v>43</v>
      </c>
      <c r="B64" s="34">
        <f>B22-B62</f>
        <v>266499</v>
      </c>
      <c r="C64" s="34">
        <f>C22-C62</f>
        <v>222758</v>
      </c>
      <c r="D64" s="35">
        <f>D22-D62</f>
        <v>165833.54225733946</v>
      </c>
      <c r="E64" s="24">
        <f>IF($B$5=0,$B$5,(+D64/$B$5))</f>
        <v>2763.8923709556575</v>
      </c>
    </row>
    <row r="65" spans="1:6" ht="18" customHeight="1">
      <c r="A65" s="36"/>
      <c r="B65" s="37"/>
      <c r="C65" s="37"/>
      <c r="D65" s="37"/>
      <c r="E65" s="38"/>
    </row>
    <row r="66" spans="1:6">
      <c r="A66" s="39" t="s">
        <v>44</v>
      </c>
      <c r="B66" s="40"/>
      <c r="C66" s="41">
        <f>C64*0.9</f>
        <v>200482.2</v>
      </c>
      <c r="D66" s="40"/>
      <c r="E66" s="40"/>
      <c r="F66" s="89" t="s">
        <v>78</v>
      </c>
    </row>
    <row r="67" spans="1:6" ht="15">
      <c r="A67" s="36"/>
      <c r="B67" s="37"/>
      <c r="C67" s="37"/>
      <c r="D67" s="37"/>
      <c r="E67" s="37"/>
    </row>
    <row r="68" spans="1:6">
      <c r="B68" s="37"/>
      <c r="C68" s="37"/>
      <c r="D68" s="37"/>
      <c r="E68" s="37"/>
    </row>
    <row r="69" spans="1:6" ht="30">
      <c r="A69" s="42" t="s">
        <v>45</v>
      </c>
      <c r="B69" s="43" t="s">
        <v>46</v>
      </c>
      <c r="C69" s="43" t="s">
        <v>47</v>
      </c>
      <c r="D69" s="43" t="s">
        <v>48</v>
      </c>
      <c r="E69" s="37"/>
    </row>
    <row r="70" spans="1:6">
      <c r="A70" s="44" t="s">
        <v>49</v>
      </c>
      <c r="B70" s="45">
        <v>944699</v>
      </c>
      <c r="C70" s="84">
        <v>820008</v>
      </c>
      <c r="D70" s="96">
        <f>C73</f>
        <v>1226206</v>
      </c>
      <c r="E70" s="99"/>
    </row>
    <row r="71" spans="1:6">
      <c r="A71" s="46" t="s">
        <v>50</v>
      </c>
      <c r="B71" s="47">
        <v>372000</v>
      </c>
      <c r="C71" s="88">
        <v>513478</v>
      </c>
      <c r="D71" s="97">
        <f>D51</f>
        <v>372000</v>
      </c>
      <c r="E71" s="102"/>
    </row>
    <row r="72" spans="1:6">
      <c r="A72" s="48" t="s">
        <v>51</v>
      </c>
      <c r="B72" s="47">
        <v>250000</v>
      </c>
      <c r="C72" s="88">
        <f>C90</f>
        <v>107280</v>
      </c>
      <c r="D72" s="98">
        <v>373800</v>
      </c>
      <c r="E72" s="103"/>
      <c r="F72" s="101"/>
    </row>
    <row r="73" spans="1:6">
      <c r="A73" s="48" t="s">
        <v>52</v>
      </c>
      <c r="B73" s="47">
        <f>B70+B71-B72</f>
        <v>1066699</v>
      </c>
      <c r="C73" s="47">
        <f t="shared" ref="C73:D73" si="6">C70+C71-C72</f>
        <v>1226206</v>
      </c>
      <c r="D73" s="98">
        <f t="shared" si="6"/>
        <v>1224406</v>
      </c>
      <c r="E73" s="100"/>
      <c r="F73" s="105"/>
    </row>
    <row r="74" spans="1:6">
      <c r="A74" s="49"/>
      <c r="B74" s="50"/>
      <c r="C74" s="50"/>
      <c r="D74" s="50"/>
    </row>
    <row r="75" spans="1:6">
      <c r="F75" s="104"/>
    </row>
    <row r="76" spans="1:6" ht="30" hidden="1">
      <c r="A76" s="51"/>
      <c r="B76" s="49"/>
      <c r="C76" s="52" t="s">
        <v>53</v>
      </c>
      <c r="D76" s="53" t="s">
        <v>54</v>
      </c>
      <c r="E76" s="52" t="s">
        <v>55</v>
      </c>
      <c r="F76" s="54"/>
    </row>
    <row r="77" spans="1:6" ht="15" hidden="1">
      <c r="A77" s="48" t="s">
        <v>56</v>
      </c>
      <c r="B77" s="47"/>
      <c r="C77" s="48"/>
      <c r="D77" s="39"/>
      <c r="E77" s="47"/>
      <c r="F77" s="54"/>
    </row>
    <row r="78" spans="1:6" hidden="1">
      <c r="A78" s="55" t="s">
        <v>57</v>
      </c>
      <c r="B78" s="56"/>
      <c r="C78" s="56"/>
      <c r="D78" s="39"/>
      <c r="E78" s="56"/>
      <c r="F78" s="54"/>
    </row>
    <row r="79" spans="1:6" hidden="1">
      <c r="A79" s="57" t="s">
        <v>58</v>
      </c>
      <c r="B79" s="47"/>
      <c r="C79" s="58"/>
      <c r="D79" s="39"/>
      <c r="E79" s="59"/>
      <c r="F79" s="54"/>
    </row>
    <row r="80" spans="1:6" hidden="1">
      <c r="A80" s="57" t="s">
        <v>59</v>
      </c>
      <c r="B80" s="47"/>
      <c r="C80" s="58"/>
      <c r="D80" s="39"/>
      <c r="E80" s="47"/>
      <c r="F80" s="54"/>
    </row>
    <row r="81" spans="1:13" hidden="1">
      <c r="A81" s="57" t="s">
        <v>60</v>
      </c>
      <c r="B81" s="60"/>
      <c r="C81" s="61"/>
      <c r="D81" s="62"/>
      <c r="E81" s="48"/>
      <c r="F81" s="54"/>
    </row>
    <row r="82" spans="1:13" hidden="1">
      <c r="A82" s="63" t="s">
        <v>61</v>
      </c>
      <c r="B82" s="64"/>
      <c r="C82" s="64"/>
      <c r="D82" s="64"/>
      <c r="E82" s="54"/>
      <c r="F82" s="54"/>
    </row>
    <row r="83" spans="1:13" hidden="1">
      <c r="A83" s="63"/>
      <c r="B83" s="65"/>
      <c r="C83" s="65"/>
      <c r="D83" s="65"/>
      <c r="E83" s="54"/>
      <c r="F83" s="54"/>
    </row>
    <row r="84" spans="1:13" ht="15" hidden="1">
      <c r="A84" s="111" t="s">
        <v>62</v>
      </c>
      <c r="B84" s="112"/>
      <c r="C84" s="66" t="s">
        <v>63</v>
      </c>
      <c r="D84" s="67" t="s">
        <v>64</v>
      </c>
      <c r="E84" s="67" t="s">
        <v>65</v>
      </c>
      <c r="F84" s="68" t="s">
        <v>66</v>
      </c>
      <c r="G84" s="67" t="s">
        <v>67</v>
      </c>
    </row>
    <row r="85" spans="1:13" ht="15" hidden="1">
      <c r="A85" s="69" t="s">
        <v>68</v>
      </c>
      <c r="B85" s="70"/>
      <c r="C85" s="71"/>
      <c r="D85" s="71"/>
      <c r="E85" s="72"/>
      <c r="F85" s="73"/>
      <c r="G85" s="74"/>
      <c r="H85" s="75"/>
      <c r="I85" s="76"/>
      <c r="J85" s="76"/>
      <c r="K85" s="76"/>
      <c r="L85" s="76"/>
      <c r="M85" s="76"/>
    </row>
    <row r="86" spans="1:13" hidden="1">
      <c r="A86" s="69" t="s">
        <v>69</v>
      </c>
      <c r="B86" s="70"/>
      <c r="C86" s="71"/>
      <c r="D86" s="77"/>
      <c r="E86" s="78"/>
      <c r="F86" s="79"/>
      <c r="G86" s="71"/>
    </row>
    <row r="87" spans="1:13" hidden="1">
      <c r="A87" s="69" t="s">
        <v>70</v>
      </c>
      <c r="B87" s="70"/>
      <c r="C87" s="79"/>
      <c r="D87" s="79"/>
      <c r="E87" s="79"/>
      <c r="F87" s="79"/>
      <c r="G87" s="80"/>
    </row>
    <row r="88" spans="1:13" hidden="1"/>
    <row r="89" spans="1:13" ht="15">
      <c r="A89" s="81" t="s">
        <v>71</v>
      </c>
      <c r="B89" s="81"/>
      <c r="C89" s="39" t="s">
        <v>72</v>
      </c>
      <c r="D89" s="39" t="s">
        <v>73</v>
      </c>
      <c r="G89" s="82"/>
      <c r="H89" s="82"/>
      <c r="I89" s="82"/>
      <c r="J89" s="82"/>
      <c r="K89" s="82"/>
    </row>
    <row r="90" spans="1:13" ht="15">
      <c r="A90" s="39" t="s">
        <v>40</v>
      </c>
      <c r="B90" s="39"/>
      <c r="C90" s="94">
        <v>107280</v>
      </c>
      <c r="D90" s="39">
        <v>0</v>
      </c>
      <c r="G90" s="82"/>
      <c r="H90" s="82"/>
      <c r="I90" s="83"/>
      <c r="J90" s="83"/>
      <c r="K90" s="83"/>
    </row>
    <row r="91" spans="1:13">
      <c r="A91" s="39" t="s">
        <v>74</v>
      </c>
      <c r="B91" s="39"/>
      <c r="C91" s="39">
        <v>0</v>
      </c>
      <c r="D91" s="39">
        <v>73800</v>
      </c>
    </row>
    <row r="92" spans="1:13">
      <c r="A92" s="39" t="s">
        <v>75</v>
      </c>
      <c r="B92" s="39"/>
      <c r="C92" s="39">
        <v>0</v>
      </c>
      <c r="D92" s="94">
        <v>300000</v>
      </c>
      <c r="E92" s="21" t="s">
        <v>76</v>
      </c>
    </row>
  </sheetData>
  <mergeCells count="4">
    <mergeCell ref="A1:E1"/>
    <mergeCell ref="A2:E2"/>
    <mergeCell ref="G50:J52"/>
    <mergeCell ref="A84:B84"/>
  </mergeCells>
  <pageMargins left="0.7" right="0.7" top="0.75" bottom="0.75" header="0.3" footer="0.3"/>
  <pageSetup orientation="portrait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Gallagher</dc:creator>
  <cp:lastModifiedBy>Oram, Jennifer</cp:lastModifiedBy>
  <dcterms:created xsi:type="dcterms:W3CDTF">2024-10-21T14:49:47Z</dcterms:created>
  <dcterms:modified xsi:type="dcterms:W3CDTF">2025-03-13T21:37:17Z</dcterms:modified>
</cp:coreProperties>
</file>