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rcoranmgmt-my.sharepoint.com/personal/egallagher_jmcandco_com/Documents/Desktop/"/>
    </mc:Choice>
  </mc:AlternateContent>
  <xr:revisionPtr revIDLastSave="0" documentId="8_{A951BEB9-8F80-4AE0-B47D-D746802DF720}" xr6:coauthVersionLast="47" xr6:coauthVersionMax="47" xr10:uidLastSave="{00000000-0000-0000-0000-000000000000}"/>
  <bookViews>
    <workbookView xWindow="-120" yWindow="-120" windowWidth="29040" windowHeight="15720" xr2:uid="{9AEB6286-6E4B-477A-B4F7-1E47CFC17907}"/>
  </bookViews>
  <sheets>
    <sheet name="Sheet1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2" i="1" l="1"/>
  <c r="C71" i="1"/>
  <c r="C73" i="1" s="1"/>
  <c r="D70" i="1" s="1"/>
  <c r="B71" i="1"/>
  <c r="B73" i="1" s="1"/>
  <c r="E60" i="1"/>
  <c r="E58" i="1"/>
  <c r="B54" i="1"/>
  <c r="C51" i="1"/>
  <c r="B51" i="1"/>
  <c r="E50" i="1"/>
  <c r="D49" i="1"/>
  <c r="E49" i="1" s="1"/>
  <c r="C49" i="1"/>
  <c r="B49" i="1"/>
  <c r="D48" i="1"/>
  <c r="E48" i="1" s="1"/>
  <c r="C48" i="1"/>
  <c r="C54" i="1" s="1"/>
  <c r="B48" i="1"/>
  <c r="D42" i="1"/>
  <c r="E42" i="1" s="1"/>
  <c r="C42" i="1"/>
  <c r="B42" i="1"/>
  <c r="D41" i="1"/>
  <c r="C41" i="1"/>
  <c r="B41" i="1"/>
  <c r="D40" i="1"/>
  <c r="E40" i="1" s="1"/>
  <c r="C40" i="1"/>
  <c r="B40" i="1"/>
  <c r="D39" i="1"/>
  <c r="E39" i="1" s="1"/>
  <c r="C39" i="1"/>
  <c r="B39" i="1"/>
  <c r="D38" i="1"/>
  <c r="C38" i="1"/>
  <c r="B38" i="1"/>
  <c r="C37" i="1"/>
  <c r="B37" i="1"/>
  <c r="B44" i="1" s="1"/>
  <c r="C36" i="1"/>
  <c r="C44" i="1" s="1"/>
  <c r="B36" i="1"/>
  <c r="D32" i="1"/>
  <c r="E32" i="1" s="1"/>
  <c r="C32" i="1"/>
  <c r="B32" i="1"/>
  <c r="D31" i="1"/>
  <c r="E31" i="1" s="1"/>
  <c r="C31" i="1"/>
  <c r="B31" i="1"/>
  <c r="D30" i="1"/>
  <c r="C30" i="1"/>
  <c r="B30" i="1"/>
  <c r="D29" i="1"/>
  <c r="E29" i="1" s="1"/>
  <c r="C29" i="1"/>
  <c r="B29" i="1"/>
  <c r="D28" i="1"/>
  <c r="E28" i="1" s="1"/>
  <c r="C28" i="1"/>
  <c r="B28" i="1"/>
  <c r="D27" i="1"/>
  <c r="C27" i="1"/>
  <c r="B27" i="1"/>
  <c r="D26" i="1"/>
  <c r="E26" i="1" s="1"/>
  <c r="C26" i="1"/>
  <c r="C34" i="1" s="1"/>
  <c r="B26" i="1"/>
  <c r="B34" i="1" s="1"/>
  <c r="D20" i="1"/>
  <c r="C20" i="1"/>
  <c r="B20" i="1"/>
  <c r="D16" i="1"/>
  <c r="E16" i="1" s="1"/>
  <c r="C16" i="1"/>
  <c r="B16" i="1"/>
  <c r="D15" i="1"/>
  <c r="C15" i="1"/>
  <c r="B15" i="1"/>
  <c r="C14" i="1"/>
  <c r="C18" i="1" s="1"/>
  <c r="C22" i="1" s="1"/>
  <c r="B14" i="1"/>
  <c r="B18" i="1" s="1"/>
  <c r="B22" i="1" s="1"/>
  <c r="C13" i="1"/>
  <c r="B13" i="1"/>
  <c r="D11" i="1"/>
  <c r="C11" i="1"/>
  <c r="B11" i="1"/>
  <c r="D10" i="1"/>
  <c r="C10" i="1"/>
  <c r="B10" i="1"/>
  <c r="D9" i="1"/>
  <c r="E9" i="1" s="1"/>
  <c r="B9" i="1"/>
  <c r="C9" i="1" s="1"/>
  <c r="B7" i="1"/>
  <c r="B5" i="1"/>
  <c r="B4" i="1"/>
  <c r="A1" i="1"/>
  <c r="B46" i="1" l="1"/>
  <c r="B62" i="1" s="1"/>
  <c r="B64" i="1" s="1"/>
  <c r="C46" i="1"/>
  <c r="C62" i="1" s="1"/>
  <c r="C64" i="1"/>
  <c r="C67" i="1" s="1"/>
  <c r="D51" i="1" s="1"/>
  <c r="D71" i="1" s="1"/>
  <c r="D73" i="1" s="1"/>
  <c r="D34" i="1"/>
  <c r="E15" i="1"/>
  <c r="E20" i="1"/>
  <c r="E27" i="1"/>
  <c r="E30" i="1"/>
  <c r="E38" i="1"/>
  <c r="E41" i="1"/>
  <c r="E11" i="1"/>
  <c r="E51" i="1" l="1"/>
  <c r="D54" i="1"/>
  <c r="E54" i="1" s="1"/>
  <c r="E34" i="1"/>
  <c r="B6" i="1" l="1"/>
  <c r="D14" i="1" l="1"/>
  <c r="E14" i="1" l="1"/>
  <c r="D18" i="1"/>
  <c r="D13" i="1"/>
  <c r="E18" i="1" l="1"/>
  <c r="D22" i="1"/>
  <c r="E22" i="1" l="1"/>
  <c r="D37" i="1"/>
  <c r="E37" i="1" s="1"/>
  <c r="D36" i="1" l="1"/>
  <c r="D44" i="1" l="1"/>
  <c r="E36" i="1"/>
  <c r="E44" i="1" l="1"/>
  <c r="D46" i="1"/>
  <c r="D62" i="1" l="1"/>
  <c r="E46" i="1"/>
  <c r="E62" i="1" l="1"/>
  <c r="D64" i="1"/>
  <c r="E6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Jamie Beaulieu</author>
  </authors>
  <commentList>
    <comment ref="D51" authorId="0" shapeId="0" xr:uid="{D15C6020-2273-43BF-BA28-CB0AADC467AF}">
      <text>
        <r>
          <rPr>
            <b/>
            <sz val="9"/>
            <color indexed="81"/>
            <rFont val="Tahoma"/>
            <family val="2"/>
          </rPr>
          <t>This includes a $377k annual contribution, plus prior year cash flow rent.</t>
        </r>
      </text>
    </comment>
  </commentList>
</comments>
</file>

<file path=xl/sharedStrings.xml><?xml version="1.0" encoding="utf-8"?>
<sst xmlns="http://schemas.openxmlformats.org/spreadsheetml/2006/main" count="65" uniqueCount="58">
  <si>
    <t>Budget Summary</t>
  </si>
  <si>
    <t>Property Name:</t>
  </si>
  <si>
    <t>Number of Apartments:</t>
  </si>
  <si>
    <t>Date:</t>
  </si>
  <si>
    <t xml:space="preserve"> </t>
  </si>
  <si>
    <t>Prepared By:</t>
  </si>
  <si>
    <t>Budget $/Apt.</t>
  </si>
  <si>
    <t>GROSS POTENTIAL INCOME</t>
  </si>
  <si>
    <t>Vacancy %</t>
  </si>
  <si>
    <t>Vacancy</t>
  </si>
  <si>
    <t>Concessions</t>
  </si>
  <si>
    <t>Bad Debt</t>
  </si>
  <si>
    <t>Rental Income</t>
  </si>
  <si>
    <t>Miscellaneous Income</t>
  </si>
  <si>
    <t>TOTAL INCOME</t>
  </si>
  <si>
    <t>EXPENSES</t>
  </si>
  <si>
    <t>Renting</t>
  </si>
  <si>
    <t>Administrative</t>
  </si>
  <si>
    <t>Payroll</t>
  </si>
  <si>
    <t>Operating</t>
  </si>
  <si>
    <t>Utilities</t>
  </si>
  <si>
    <t>Maintenance</t>
  </si>
  <si>
    <t>Non Capital Replacement Purchases</t>
  </si>
  <si>
    <t>TOTAL CONTROLLABLE</t>
  </si>
  <si>
    <t>Management Fees</t>
  </si>
  <si>
    <t>Additional Management Fee</t>
  </si>
  <si>
    <t>Auditing</t>
  </si>
  <si>
    <t>Bookkeeping</t>
  </si>
  <si>
    <t>Professional Services</t>
  </si>
  <si>
    <t>HOA Fee</t>
  </si>
  <si>
    <t>Insurance</t>
  </si>
  <si>
    <t>TOTAL NON CONTROLLABLE</t>
  </si>
  <si>
    <t>TOTAL EXPENSES BEFORE TAXES, DEPRECIATION &amp; DEBT</t>
  </si>
  <si>
    <t>Real Estate Taxes</t>
  </si>
  <si>
    <t>Base Rent (Debt Service)</t>
  </si>
  <si>
    <t>Additional Rent (Article 16 Funds - 7/1/2028)</t>
  </si>
  <si>
    <t>Replacement Reserve Deposits (2022 C.N.A)</t>
  </si>
  <si>
    <t>TOTAL TAXES, RENT, &amp; RESERVES</t>
  </si>
  <si>
    <t>NON RECURRING EXPENSES</t>
  </si>
  <si>
    <t>Cash Flow Rent Payment</t>
  </si>
  <si>
    <t>HVAC Project</t>
  </si>
  <si>
    <t>Window Project Contingency from Operating</t>
  </si>
  <si>
    <t>TOTAL OPERATING EXPENSES</t>
  </si>
  <si>
    <t>TOTAL CASH FLOW</t>
  </si>
  <si>
    <t>CASH FLOW RENT (90% of Cash Flow)</t>
  </si>
  <si>
    <t>REPLACEMENT RESERVE BUDGET</t>
  </si>
  <si>
    <t>2025 Approved Budget</t>
  </si>
  <si>
    <t>2025 Projected Year End</t>
  </si>
  <si>
    <t>2026 Proposed Budget</t>
  </si>
  <si>
    <t xml:space="preserve">Replacement Reserves </t>
  </si>
  <si>
    <t xml:space="preserve">Contributions </t>
  </si>
  <si>
    <t>Withdrawals</t>
  </si>
  <si>
    <t>Ending Balance (12/31)</t>
  </si>
  <si>
    <t>Capital Projects Funded From Reserves</t>
  </si>
  <si>
    <t>2025 Costs</t>
  </si>
  <si>
    <t>2026 Budget</t>
  </si>
  <si>
    <t>Paving</t>
  </si>
  <si>
    <t>Contingency for other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</si>
</sst>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164" formatCode="0_)"/>
    <numFmt numFmtId="165" formatCode="mm/dd/yy;@"/>
  </numFmts>
  <fonts count="11" x14ac:knownFonts="1">
    <font>
      <sz val="11"/>
      <color theme="1"/>
      <name val="Aptos Narrow"/>
      <family val="2"/>
      <scheme val="minor"/>
    </font>
    <font>
      <sz val="10"/>
      <name val="Courier"/>
      <family val="3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12"/>
      <name val="Arial"/>
      <family val="2"/>
    </font>
    <font>
      <i/>
      <sz val="11"/>
      <name val="Arial"/>
      <family val="2"/>
    </font>
    <font>
      <i/>
      <sz val="11"/>
      <color indexed="12"/>
      <name val="Arial"/>
      <family val="2"/>
    </font>
    <font>
      <b/>
      <sz val="11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7" fontId="1" fillId="0" borderId="0"/>
    <xf numFmtId="37" fontId="4" fillId="0" borderId="0"/>
    <xf numFmtId="7" fontId="1" fillId="0" borderId="0"/>
  </cellStyleXfs>
  <cellXfs count="69">
    <xf numFmtId="0" fontId="0" fillId="0" borderId="0" xfId="0"/>
    <xf numFmtId="0" fontId="2" fillId="0" borderId="0" xfId="1" applyNumberFormat="1" applyFont="1" applyAlignment="1">
      <alignment horizontal="center" vertical="center"/>
    </xf>
    <xf numFmtId="7" fontId="3" fillId="0" borderId="0" xfId="1" applyFont="1" applyAlignment="1">
      <alignment vertical="center"/>
    </xf>
    <xf numFmtId="7" fontId="2" fillId="0" borderId="0" xfId="1" applyFont="1" applyAlignment="1">
      <alignment horizontal="center" vertical="center"/>
    </xf>
    <xf numFmtId="7" fontId="2" fillId="0" borderId="0" xfId="1" applyFont="1" applyAlignment="1">
      <alignment horizontal="left" vertical="center"/>
    </xf>
    <xf numFmtId="37" fontId="2" fillId="0" borderId="0" xfId="2" applyFont="1" applyAlignment="1">
      <alignment horizontal="left" vertical="center"/>
    </xf>
    <xf numFmtId="7" fontId="5" fillId="0" borderId="0" xfId="1" applyFont="1" applyAlignment="1">
      <alignment vertical="center"/>
    </xf>
    <xf numFmtId="164" fontId="5" fillId="0" borderId="0" xfId="1" applyNumberFormat="1" applyFont="1" applyAlignment="1">
      <alignment horizontal="left" vertical="center"/>
    </xf>
    <xf numFmtId="165" fontId="5" fillId="0" borderId="0" xfId="1" applyNumberFormat="1" applyFont="1" applyAlignment="1">
      <alignment horizontal="left" vertical="center"/>
    </xf>
    <xf numFmtId="7" fontId="3" fillId="0" borderId="0" xfId="1" applyFont="1" applyAlignment="1">
      <alignment horizontal="center" vertical="center"/>
    </xf>
    <xf numFmtId="0" fontId="5" fillId="0" borderId="0" xfId="1" applyNumberFormat="1" applyFont="1" applyAlignment="1">
      <alignment horizontal="left" vertical="center"/>
    </xf>
    <xf numFmtId="49" fontId="3" fillId="0" borderId="0" xfId="1" applyNumberFormat="1" applyFont="1" applyAlignment="1">
      <alignment vertical="center"/>
    </xf>
    <xf numFmtId="1" fontId="2" fillId="0" borderId="1" xfId="1" applyNumberFormat="1" applyFont="1" applyBorder="1" applyAlignment="1">
      <alignment horizontal="center" vertical="center"/>
    </xf>
    <xf numFmtId="1" fontId="2" fillId="0" borderId="2" xfId="1" applyNumberFormat="1" applyFont="1" applyBorder="1" applyAlignment="1">
      <alignment horizontal="center" vertical="center"/>
    </xf>
    <xf numFmtId="1" fontId="2" fillId="0" borderId="3" xfId="1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5" xfId="1" applyNumberFormat="1" applyFont="1" applyBorder="1" applyAlignment="1">
      <alignment horizontal="center" vertical="top" wrapText="1"/>
    </xf>
    <xf numFmtId="7" fontId="2" fillId="0" borderId="4" xfId="1" applyFont="1" applyBorder="1" applyAlignment="1">
      <alignment vertical="center"/>
    </xf>
    <xf numFmtId="5" fontId="5" fillId="0" borderId="5" xfId="1" applyNumberFormat="1" applyFont="1" applyBorder="1" applyAlignment="1">
      <alignment vertical="center"/>
    </xf>
    <xf numFmtId="37" fontId="5" fillId="0" borderId="5" xfId="1" applyNumberFormat="1" applyFont="1" applyBorder="1" applyAlignment="1">
      <alignment vertical="center"/>
    </xf>
    <xf numFmtId="7" fontId="3" fillId="0" borderId="4" xfId="1" applyFont="1" applyBorder="1" applyAlignment="1">
      <alignment vertical="center"/>
    </xf>
    <xf numFmtId="7" fontId="3" fillId="0" borderId="5" xfId="1" applyFont="1" applyBorder="1" applyAlignment="1">
      <alignment vertical="center"/>
    </xf>
    <xf numFmtId="37" fontId="3" fillId="0" borderId="5" xfId="1" applyNumberFormat="1" applyFont="1" applyBorder="1" applyAlignment="1">
      <alignment vertical="center"/>
    </xf>
    <xf numFmtId="7" fontId="6" fillId="0" borderId="4" xfId="1" applyFont="1" applyBorder="1" applyAlignment="1">
      <alignment vertical="center"/>
    </xf>
    <xf numFmtId="10" fontId="6" fillId="0" borderId="5" xfId="1" applyNumberFormat="1" applyFont="1" applyBorder="1" applyAlignment="1">
      <alignment vertical="center"/>
    </xf>
    <xf numFmtId="37" fontId="7" fillId="0" borderId="5" xfId="1" applyNumberFormat="1" applyFont="1" applyBorder="1" applyAlignment="1">
      <alignment horizontal="center" vertical="center"/>
    </xf>
    <xf numFmtId="7" fontId="6" fillId="0" borderId="0" xfId="1" applyFont="1" applyAlignment="1">
      <alignment vertical="center"/>
    </xf>
    <xf numFmtId="37" fontId="5" fillId="0" borderId="6" xfId="1" applyNumberFormat="1" applyFont="1" applyBorder="1" applyAlignment="1">
      <alignment vertical="center"/>
    </xf>
    <xf numFmtId="37" fontId="3" fillId="0" borderId="2" xfId="1" applyNumberFormat="1" applyFont="1" applyBorder="1" applyAlignment="1">
      <alignment vertical="center"/>
    </xf>
    <xf numFmtId="37" fontId="5" fillId="0" borderId="2" xfId="1" applyNumberFormat="1" applyFont="1" applyBorder="1" applyAlignment="1">
      <alignment vertical="center"/>
    </xf>
    <xf numFmtId="7" fontId="3" fillId="0" borderId="4" xfId="3" applyFont="1" applyBorder="1" applyAlignment="1">
      <alignment vertical="center"/>
    </xf>
    <xf numFmtId="37" fontId="5" fillId="0" borderId="0" xfId="1" applyNumberFormat="1" applyFont="1" applyAlignment="1">
      <alignment vertical="center"/>
    </xf>
    <xf numFmtId="37" fontId="5" fillId="0" borderId="4" xfId="1" applyNumberFormat="1" applyFont="1" applyBorder="1" applyAlignment="1">
      <alignment vertical="center"/>
    </xf>
    <xf numFmtId="7" fontId="2" fillId="0" borderId="4" xfId="1" applyFont="1" applyBorder="1" applyAlignment="1">
      <alignment vertical="center" wrapText="1"/>
    </xf>
    <xf numFmtId="37" fontId="5" fillId="0" borderId="7" xfId="1" applyNumberFormat="1" applyFont="1" applyBorder="1" applyAlignment="1">
      <alignment vertical="center"/>
    </xf>
    <xf numFmtId="37" fontId="5" fillId="2" borderId="5" xfId="1" applyNumberFormat="1" applyFont="1" applyFill="1" applyBorder="1" applyAlignment="1">
      <alignment vertical="center"/>
    </xf>
    <xf numFmtId="7" fontId="2" fillId="0" borderId="4" xfId="3" applyFont="1" applyBorder="1" applyAlignment="1">
      <alignment vertical="center"/>
    </xf>
    <xf numFmtId="37" fontId="5" fillId="0" borderId="8" xfId="3" applyNumberFormat="1" applyFont="1" applyBorder="1" applyAlignment="1">
      <alignment vertical="center"/>
    </xf>
    <xf numFmtId="37" fontId="5" fillId="0" borderId="2" xfId="3" applyNumberFormat="1" applyFont="1" applyBorder="1" applyAlignment="1">
      <alignment vertical="center"/>
    </xf>
    <xf numFmtId="37" fontId="5" fillId="0" borderId="9" xfId="3" applyNumberFormat="1" applyFont="1" applyBorder="1" applyAlignment="1">
      <alignment vertical="center"/>
    </xf>
    <xf numFmtId="37" fontId="5" fillId="0" borderId="5" xfId="3" applyNumberFormat="1" applyFont="1" applyBorder="1" applyAlignment="1">
      <alignment vertical="center"/>
    </xf>
    <xf numFmtId="37" fontId="5" fillId="0" borderId="6" xfId="3" applyNumberFormat="1" applyFont="1" applyBorder="1" applyAlignment="1">
      <alignment vertical="center"/>
    </xf>
    <xf numFmtId="37" fontId="5" fillId="0" borderId="7" xfId="3" applyNumberFormat="1" applyFont="1" applyBorder="1" applyAlignment="1">
      <alignment vertical="center"/>
    </xf>
    <xf numFmtId="37" fontId="3" fillId="0" borderId="9" xfId="1" applyNumberFormat="1" applyFont="1" applyBorder="1" applyAlignment="1">
      <alignment vertical="center"/>
    </xf>
    <xf numFmtId="37" fontId="3" fillId="0" borderId="7" xfId="1" applyNumberFormat="1" applyFont="1" applyBorder="1" applyAlignment="1">
      <alignment vertical="center"/>
    </xf>
    <xf numFmtId="7" fontId="2" fillId="0" borderId="10" xfId="1" applyFont="1" applyBorder="1" applyAlignment="1">
      <alignment vertical="center"/>
    </xf>
    <xf numFmtId="37" fontId="3" fillId="0" borderId="6" xfId="1" applyNumberFormat="1" applyFont="1" applyBorder="1" applyAlignment="1">
      <alignment vertical="center"/>
    </xf>
    <xf numFmtId="37" fontId="3" fillId="0" borderId="11" xfId="1" applyNumberFormat="1" applyFont="1" applyBorder="1" applyAlignment="1">
      <alignment vertical="center"/>
    </xf>
    <xf numFmtId="37" fontId="3" fillId="0" borderId="5" xfId="1" applyNumberFormat="1" applyFont="1" applyBorder="1" applyAlignment="1">
      <alignment horizontal="center" vertical="center"/>
    </xf>
    <xf numFmtId="37" fontId="3" fillId="0" borderId="7" xfId="1" applyNumberFormat="1" applyFont="1" applyBorder="1" applyAlignment="1">
      <alignment horizontal="center" vertical="center"/>
    </xf>
    <xf numFmtId="7" fontId="2" fillId="0" borderId="0" xfId="1" applyFont="1" applyAlignment="1">
      <alignment vertical="center"/>
    </xf>
    <xf numFmtId="37" fontId="3" fillId="0" borderId="0" xfId="1" applyNumberFormat="1" applyFont="1" applyAlignment="1">
      <alignment vertical="center"/>
    </xf>
    <xf numFmtId="7" fontId="3" fillId="0" borderId="12" xfId="3" applyFont="1" applyBorder="1" applyAlignment="1">
      <alignment vertical="center"/>
    </xf>
    <xf numFmtId="37" fontId="3" fillId="0" borderId="12" xfId="3" applyNumberFormat="1" applyFont="1" applyBorder="1" applyAlignment="1">
      <alignment vertical="center"/>
    </xf>
    <xf numFmtId="37" fontId="3" fillId="2" borderId="12" xfId="3" applyNumberFormat="1" applyFont="1" applyFill="1" applyBorder="1" applyAlignment="1">
      <alignment vertical="center"/>
    </xf>
    <xf numFmtId="7" fontId="8" fillId="0" borderId="12" xfId="3" applyFont="1" applyBorder="1" applyAlignment="1">
      <alignment vertical="center"/>
    </xf>
    <xf numFmtId="7" fontId="8" fillId="0" borderId="12" xfId="3" applyFont="1" applyBorder="1" applyAlignment="1">
      <alignment horizontal="center" vertical="center" wrapText="1"/>
    </xf>
    <xf numFmtId="7" fontId="9" fillId="0" borderId="6" xfId="3" applyFont="1" applyBorder="1" applyAlignment="1">
      <alignment vertical="center"/>
    </xf>
    <xf numFmtId="5" fontId="9" fillId="0" borderId="6" xfId="3" applyNumberFormat="1" applyFont="1" applyBorder="1" applyAlignment="1">
      <alignment vertical="center"/>
    </xf>
    <xf numFmtId="5" fontId="9" fillId="2" borderId="6" xfId="3" applyNumberFormat="1" applyFont="1" applyFill="1" applyBorder="1" applyAlignment="1">
      <alignment vertical="center"/>
    </xf>
    <xf numFmtId="14" fontId="9" fillId="0" borderId="12" xfId="3" applyNumberFormat="1" applyFont="1" applyBorder="1" applyAlignment="1">
      <alignment vertical="center"/>
    </xf>
    <xf numFmtId="5" fontId="9" fillId="0" borderId="12" xfId="3" applyNumberFormat="1" applyFont="1" applyBorder="1" applyAlignment="1">
      <alignment vertical="center"/>
    </xf>
    <xf numFmtId="7" fontId="9" fillId="0" borderId="12" xfId="3" applyFont="1" applyBorder="1" applyAlignment="1">
      <alignment vertical="center"/>
    </xf>
    <xf numFmtId="7" fontId="9" fillId="0" borderId="0" xfId="3" applyFont="1" applyAlignment="1">
      <alignment vertical="center"/>
    </xf>
    <xf numFmtId="5" fontId="9" fillId="0" borderId="0" xfId="3" applyNumberFormat="1" applyFont="1" applyAlignment="1">
      <alignment vertical="center"/>
    </xf>
    <xf numFmtId="7" fontId="3" fillId="0" borderId="0" xfId="3" applyFont="1" applyAlignment="1">
      <alignment vertical="center"/>
    </xf>
    <xf numFmtId="7" fontId="2" fillId="0" borderId="12" xfId="3" applyFont="1" applyBorder="1" applyAlignment="1">
      <alignment vertical="center"/>
    </xf>
  </cellXfs>
  <cellStyles count="4">
    <cellStyle name="Normal" xfId="0" builtinId="0"/>
    <cellStyle name="Normal 4" xfId="1" xr:uid="{BBDE21B8-ED46-40C9-A822-D6E85434150D}"/>
    <cellStyle name="Normal 4 2" xfId="3" xr:uid="{1F2869CB-4E8F-4A57-B382-53D77C85F654}"/>
    <cellStyle name="Normal_4 COLUMN 1997" xfId="2" xr:uid="{D5F6607C-3660-4668-B1CC-CABEFABCAA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BUDGET\BUDGET%202026\2026%20Final%20Property%20Budget\094BUD2026.xlsx" TargetMode="External"/><Relationship Id="rId1" Type="http://schemas.openxmlformats.org/officeDocument/2006/relationships/externalLinkPath" Target="file:///P:\BUDGET\BUDGET%202026\2026%20Final%20Property%20Budget\094BUD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6 Build Notes"/>
      <sheetName val="Assumptions"/>
      <sheetName val="Budget Summary"/>
      <sheetName val="Town Budget Summary"/>
      <sheetName val="Narrative"/>
      <sheetName val="4 Column"/>
      <sheetName val="CMC INV IMPORT"/>
      <sheetName val="Monthly Spread"/>
      <sheetName val="DSF Bud Sum"/>
      <sheetName val="DSF 4C"/>
      <sheetName val="DSF LTL"/>
      <sheetName val="DSF CAP"/>
      <sheetName val="DSF Maint Exp"/>
      <sheetName val="Residential Income"/>
      <sheetName val="Commercial Leases"/>
      <sheetName val="Misc Income Items"/>
      <sheetName val="Commissions &amp; Employ Costs"/>
      <sheetName val="Costs based on Headcount"/>
      <sheetName val="Payroll Summary"/>
      <sheetName val="Staffing - OFFICE"/>
      <sheetName val="Staffing - MAINTENANCE"/>
      <sheetName val="Staffing - FLOATERS"/>
      <sheetName val="Renting Expenses"/>
      <sheetName val="Administrative Expenses"/>
      <sheetName val="Operating Expenses"/>
      <sheetName val="Maintenance Expenses"/>
      <sheetName val="NC-Taxes-Depr-Financial"/>
      <sheetName val="Oil"/>
      <sheetName val="Gas"/>
      <sheetName val="Electric"/>
      <sheetName val="Water&amp;Sewer"/>
      <sheetName val="Water Irrigation"/>
      <sheetName val="REPL &amp; CAP"/>
      <sheetName val="YARDI-TEMPL"/>
      <sheetName val="UBS Template"/>
      <sheetName val="DSF-TEMPL"/>
      <sheetName val="MassHousing Budget"/>
    </sheetNames>
    <sheetDataSet>
      <sheetData sheetId="0"/>
      <sheetData sheetId="1">
        <row r="3">
          <cell r="B3">
            <v>2025</v>
          </cell>
        </row>
        <row r="4">
          <cell r="B4">
            <v>2026</v>
          </cell>
        </row>
        <row r="14">
          <cell r="B14" t="str">
            <v>Erin Gallagher</v>
          </cell>
        </row>
      </sheetData>
      <sheetData sheetId="2"/>
      <sheetData sheetId="3"/>
      <sheetData sheetId="4"/>
      <sheetData sheetId="5">
        <row r="1">
          <cell r="D1" t="str">
            <v>Lincoln School</v>
          </cell>
        </row>
        <row r="2">
          <cell r="D2">
            <v>60</v>
          </cell>
        </row>
        <row r="3">
          <cell r="D3">
            <v>45973</v>
          </cell>
        </row>
        <row r="6">
          <cell r="D6" t="str">
            <v>Annual Budget</v>
          </cell>
          <cell r="O6" t="str">
            <v>Projected Year End</v>
          </cell>
          <cell r="P6" t="str">
            <v>Budget</v>
          </cell>
        </row>
        <row r="11">
          <cell r="P11">
            <v>0</v>
          </cell>
        </row>
        <row r="13">
          <cell r="D13">
            <v>1977056</v>
          </cell>
          <cell r="O13">
            <v>1999200</v>
          </cell>
          <cell r="P13">
            <v>2009196</v>
          </cell>
        </row>
        <row r="14">
          <cell r="D14">
            <v>0</v>
          </cell>
          <cell r="O14">
            <v>0</v>
          </cell>
          <cell r="P14">
            <v>0</v>
          </cell>
        </row>
        <row r="16">
          <cell r="D16">
            <v>0</v>
          </cell>
          <cell r="O16">
            <v>0</v>
          </cell>
          <cell r="P16">
            <v>0</v>
          </cell>
        </row>
        <row r="17">
          <cell r="D17">
            <v>0</v>
          </cell>
          <cell r="O17">
            <v>0</v>
          </cell>
          <cell r="P17">
            <v>0</v>
          </cell>
        </row>
        <row r="18">
          <cell r="D18">
            <v>0</v>
          </cell>
          <cell r="O18">
            <v>0</v>
          </cell>
          <cell r="P18">
            <v>0</v>
          </cell>
        </row>
        <row r="19">
          <cell r="D19">
            <v>0</v>
          </cell>
          <cell r="O19">
            <v>0</v>
          </cell>
          <cell r="P19">
            <v>0</v>
          </cell>
        </row>
        <row r="20">
          <cell r="D20">
            <v>0</v>
          </cell>
          <cell r="O20">
            <v>0</v>
          </cell>
          <cell r="P20">
            <v>0</v>
          </cell>
        </row>
        <row r="21">
          <cell r="D21">
            <v>0</v>
          </cell>
          <cell r="O21">
            <v>0</v>
          </cell>
        </row>
        <row r="22">
          <cell r="D22">
            <v>0</v>
          </cell>
          <cell r="O22">
            <v>0</v>
          </cell>
        </row>
        <row r="23">
          <cell r="D23">
            <v>0</v>
          </cell>
          <cell r="O23">
            <v>0</v>
          </cell>
        </row>
        <row r="24">
          <cell r="D24">
            <v>0</v>
          </cell>
          <cell r="O24">
            <v>0</v>
          </cell>
        </row>
        <row r="25">
          <cell r="D25">
            <v>60</v>
          </cell>
          <cell r="O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  <cell r="O35">
            <v>0</v>
          </cell>
          <cell r="P35">
            <v>0</v>
          </cell>
        </row>
        <row r="45">
          <cell r="D45">
            <v>9884</v>
          </cell>
          <cell r="O45">
            <v>9641</v>
          </cell>
          <cell r="P45">
            <v>10045.98</v>
          </cell>
        </row>
        <row r="47">
          <cell r="D47">
            <v>0</v>
          </cell>
          <cell r="O47">
            <v>0</v>
          </cell>
          <cell r="P47">
            <v>0</v>
          </cell>
        </row>
        <row r="48">
          <cell r="P48">
            <v>0</v>
          </cell>
        </row>
        <row r="49">
          <cell r="D49">
            <v>0</v>
          </cell>
          <cell r="O49">
            <v>0</v>
          </cell>
          <cell r="P49">
            <v>0</v>
          </cell>
        </row>
        <row r="55">
          <cell r="D55">
            <v>5844</v>
          </cell>
          <cell r="O55">
            <v>7572</v>
          </cell>
          <cell r="P55">
            <v>7608</v>
          </cell>
        </row>
        <row r="61">
          <cell r="D61">
            <v>-1176</v>
          </cell>
          <cell r="O61">
            <v>-1176</v>
          </cell>
          <cell r="P61">
            <v>-1191.912</v>
          </cell>
        </row>
        <row r="85">
          <cell r="D85">
            <v>1352</v>
          </cell>
          <cell r="O85">
            <v>712</v>
          </cell>
          <cell r="P85">
            <v>1340</v>
          </cell>
        </row>
        <row r="108">
          <cell r="D108">
            <v>30497</v>
          </cell>
          <cell r="O108">
            <v>30744.720000000001</v>
          </cell>
          <cell r="P108">
            <v>34880.359999999993</v>
          </cell>
        </row>
        <row r="120">
          <cell r="D120">
            <v>210913</v>
          </cell>
          <cell r="O120">
            <v>211085</v>
          </cell>
          <cell r="P120">
            <v>223745.24564483296</v>
          </cell>
        </row>
        <row r="137">
          <cell r="D137">
            <v>65232</v>
          </cell>
          <cell r="O137">
            <v>63893</v>
          </cell>
          <cell r="P137">
            <v>69733</v>
          </cell>
        </row>
        <row r="152">
          <cell r="D152">
            <v>115457</v>
          </cell>
          <cell r="O152">
            <v>133509</v>
          </cell>
          <cell r="P152">
            <v>133292.92083333334</v>
          </cell>
        </row>
        <row r="196">
          <cell r="D196">
            <v>112037</v>
          </cell>
          <cell r="O196">
            <v>116867</v>
          </cell>
          <cell r="P196">
            <v>132335</v>
          </cell>
        </row>
        <row r="203">
          <cell r="D203">
            <v>56923</v>
          </cell>
          <cell r="O203">
            <v>56925</v>
          </cell>
          <cell r="P203">
            <v>57998.196778000005</v>
          </cell>
        </row>
        <row r="204">
          <cell r="D204">
            <v>0</v>
          </cell>
          <cell r="O204">
            <v>0</v>
          </cell>
          <cell r="P204">
            <v>0</v>
          </cell>
        </row>
        <row r="205">
          <cell r="D205">
            <v>21636</v>
          </cell>
          <cell r="O205">
            <v>21636</v>
          </cell>
          <cell r="P205">
            <v>23000.000000000004</v>
          </cell>
        </row>
        <row r="206">
          <cell r="D206">
            <v>4500</v>
          </cell>
          <cell r="O206">
            <v>339</v>
          </cell>
          <cell r="P206">
            <v>339</v>
          </cell>
        </row>
        <row r="207">
          <cell r="D207">
            <v>1908</v>
          </cell>
          <cell r="O207">
            <v>10500</v>
          </cell>
          <cell r="P207">
            <v>4000.0000000000005</v>
          </cell>
        </row>
        <row r="208">
          <cell r="D208">
            <v>0</v>
          </cell>
          <cell r="O208">
            <v>0</v>
          </cell>
          <cell r="P208">
            <v>0</v>
          </cell>
        </row>
        <row r="209">
          <cell r="D209">
            <v>0</v>
          </cell>
          <cell r="O209">
            <v>0</v>
          </cell>
          <cell r="P209">
            <v>0</v>
          </cell>
        </row>
        <row r="210">
          <cell r="D210">
            <v>83228</v>
          </cell>
          <cell r="O210">
            <v>77880</v>
          </cell>
          <cell r="P210">
            <v>108673</v>
          </cell>
        </row>
        <row r="211">
          <cell r="D211">
            <v>0</v>
          </cell>
          <cell r="O211">
            <v>0</v>
          </cell>
          <cell r="P211">
            <v>0</v>
          </cell>
        </row>
        <row r="217">
          <cell r="D217">
            <v>95377</v>
          </cell>
          <cell r="O217">
            <v>87935</v>
          </cell>
          <cell r="P217">
            <v>93970</v>
          </cell>
        </row>
        <row r="218">
          <cell r="D218">
            <v>382851.96</v>
          </cell>
          <cell r="O218">
            <v>382852</v>
          </cell>
          <cell r="P218">
            <v>368816.00000000006</v>
          </cell>
        </row>
        <row r="219">
          <cell r="D219">
            <v>0</v>
          </cell>
          <cell r="O219">
            <v>0</v>
          </cell>
          <cell r="P219">
            <v>0</v>
          </cell>
        </row>
        <row r="220">
          <cell r="D220">
            <v>0</v>
          </cell>
          <cell r="O220">
            <v>0</v>
          </cell>
          <cell r="P220">
            <v>0</v>
          </cell>
        </row>
        <row r="273">
          <cell r="D273">
            <v>59009.919999999998</v>
          </cell>
          <cell r="N273">
            <v>37840</v>
          </cell>
          <cell r="P273">
            <v>71660</v>
          </cell>
        </row>
        <row r="280">
          <cell r="D280">
            <v>372000</v>
          </cell>
          <cell r="N280">
            <v>545058</v>
          </cell>
          <cell r="P280">
            <v>377364</v>
          </cell>
        </row>
        <row r="281">
          <cell r="D281">
            <v>373800</v>
          </cell>
        </row>
      </sheetData>
      <sheetData sheetId="6"/>
      <sheetData sheetId="7">
        <row r="2">
          <cell r="A2">
            <v>2026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11B5C-C451-4C65-AD88-065004F3D7BC}">
  <dimension ref="A1:G79"/>
  <sheetViews>
    <sheetView tabSelected="1" topLeftCell="A25" workbookViewId="0">
      <selection activeCell="K70" sqref="K70"/>
    </sheetView>
  </sheetViews>
  <sheetFormatPr defaultColWidth="11" defaultRowHeight="14.25" x14ac:dyDescent="0.25"/>
  <cols>
    <col min="1" max="1" width="42.85546875" style="2" customWidth="1"/>
    <col min="2" max="4" width="15.5703125" style="2" customWidth="1"/>
    <col min="5" max="5" width="16.7109375" style="2" customWidth="1"/>
    <col min="6" max="7" width="11" style="2"/>
    <col min="8" max="8" width="10.7109375" style="2" customWidth="1"/>
    <col min="9" max="16384" width="11" style="2"/>
  </cols>
  <sheetData>
    <row r="1" spans="1:7" ht="15" x14ac:dyDescent="0.25">
      <c r="A1" s="1">
        <f>'[1]Monthly Spread'!A2</f>
        <v>2026</v>
      </c>
      <c r="B1" s="1"/>
      <c r="C1" s="1"/>
      <c r="D1" s="1"/>
      <c r="E1" s="1"/>
    </row>
    <row r="2" spans="1:7" ht="18" customHeight="1" x14ac:dyDescent="0.25">
      <c r="A2" s="3" t="s">
        <v>0</v>
      </c>
      <c r="B2" s="3"/>
      <c r="C2" s="3"/>
      <c r="D2" s="3"/>
      <c r="E2" s="3"/>
    </row>
    <row r="3" spans="1:7" ht="8.1" customHeight="1" x14ac:dyDescent="0.25"/>
    <row r="4" spans="1:7" ht="18" customHeight="1" x14ac:dyDescent="0.25">
      <c r="A4" s="4" t="s">
        <v>1</v>
      </c>
      <c r="B4" s="5" t="str">
        <f>'[1]4 Column'!D1</f>
        <v>Lincoln School</v>
      </c>
      <c r="C4" s="6"/>
    </row>
    <row r="5" spans="1:7" ht="18" customHeight="1" x14ac:dyDescent="0.25">
      <c r="A5" s="4" t="s">
        <v>2</v>
      </c>
      <c r="B5" s="7">
        <f>'[1]4 Column'!D2</f>
        <v>60</v>
      </c>
    </row>
    <row r="6" spans="1:7" ht="18" customHeight="1" x14ac:dyDescent="0.25">
      <c r="A6" s="4" t="s">
        <v>3</v>
      </c>
      <c r="B6" s="8">
        <f ca="1">'[1]4 Column'!D3</f>
        <v>45973</v>
      </c>
      <c r="C6" s="9" t="s">
        <v>4</v>
      </c>
    </row>
    <row r="7" spans="1:7" ht="18" customHeight="1" x14ac:dyDescent="0.25">
      <c r="A7" s="4" t="s">
        <v>5</v>
      </c>
      <c r="B7" s="10" t="str">
        <f>[1]Assumptions!B14</f>
        <v>Erin Gallagher</v>
      </c>
      <c r="C7" s="11"/>
    </row>
    <row r="8" spans="1:7" ht="8.1" customHeight="1" x14ac:dyDescent="0.25">
      <c r="B8" s="9"/>
    </row>
    <row r="9" spans="1:7" ht="14.45" customHeight="1" x14ac:dyDescent="0.25">
      <c r="B9" s="12">
        <f>[1]Assumptions!B3</f>
        <v>2025</v>
      </c>
      <c r="C9" s="13">
        <f>B9</f>
        <v>2025</v>
      </c>
      <c r="D9" s="14">
        <f>[1]Assumptions!B4</f>
        <v>2026</v>
      </c>
      <c r="E9" s="13">
        <f>D9</f>
        <v>2026</v>
      </c>
    </row>
    <row r="10" spans="1:7" ht="30" x14ac:dyDescent="0.25">
      <c r="B10" s="15" t="str">
        <f>'[1]4 Column'!D6</f>
        <v>Annual Budget</v>
      </c>
      <c r="C10" s="16" t="str">
        <f>'[1]4 Column'!O6</f>
        <v>Projected Year End</v>
      </c>
      <c r="D10" s="17" t="str">
        <f>'[1]4 Column'!P6</f>
        <v>Budget</v>
      </c>
      <c r="E10" s="18" t="s">
        <v>6</v>
      </c>
    </row>
    <row r="11" spans="1:7" ht="18" customHeight="1" x14ac:dyDescent="0.25">
      <c r="A11" s="19" t="s">
        <v>7</v>
      </c>
      <c r="B11" s="20">
        <f>'[1]4 Column'!D13+'[1]4 Column'!D19+'[1]4 Column'!D17+'[1]4 Column'!D14</f>
        <v>1977056</v>
      </c>
      <c r="C11" s="20">
        <f>'[1]4 Column'!O13+'[1]4 Column'!O19+'[1]4 Column'!O17+'[1]4 Column'!O14</f>
        <v>1999200</v>
      </c>
      <c r="D11" s="20">
        <f>'[1]4 Column'!P13+'[1]4 Column'!P19+'[1]4 Column'!P17+'[1]4 Column'!P14</f>
        <v>2009196</v>
      </c>
      <c r="E11" s="21">
        <f>IF($B$5=0,$B$5,(+D11/$B$5))</f>
        <v>33486.6</v>
      </c>
    </row>
    <row r="12" spans="1:7" ht="6" customHeight="1" x14ac:dyDescent="0.25">
      <c r="A12" s="22"/>
      <c r="B12" s="23"/>
      <c r="C12" s="23"/>
      <c r="D12" s="23"/>
      <c r="E12" s="24"/>
    </row>
    <row r="13" spans="1:7" s="28" customFormat="1" ht="15" customHeight="1" x14ac:dyDescent="0.25">
      <c r="A13" s="25" t="s">
        <v>8</v>
      </c>
      <c r="B13" s="26">
        <f>IF(B14=0,B14,(+B14/B11))</f>
        <v>4.9993525727141767E-3</v>
      </c>
      <c r="C13" s="26">
        <f>IF(C14=0,C14,(+C14/C11))</f>
        <v>4.8224289715886352E-3</v>
      </c>
      <c r="D13" s="26">
        <f ca="1">IF(D14=0,D14,(+D14/D11))</f>
        <v>5.0000000000000001E-3</v>
      </c>
      <c r="E13" s="27" t="s">
        <v>4</v>
      </c>
    </row>
    <row r="14" spans="1:7" ht="15" customHeight="1" x14ac:dyDescent="0.25">
      <c r="A14" s="22" t="s">
        <v>9</v>
      </c>
      <c r="B14" s="21">
        <f>'[1]4 Column'!D45</f>
        <v>9884</v>
      </c>
      <c r="C14" s="21">
        <f>'[1]4 Column'!O45</f>
        <v>9641</v>
      </c>
      <c r="D14" s="21">
        <f ca="1">'[1]4 Column'!P45</f>
        <v>10045.98</v>
      </c>
      <c r="E14" s="21">
        <f ca="1">IF($B$5=0,$B$5,(+D14/$B$5))</f>
        <v>167.43299999999999</v>
      </c>
      <c r="G14" s="11"/>
    </row>
    <row r="15" spans="1:7" ht="15" customHeight="1" x14ac:dyDescent="0.25">
      <c r="A15" s="22" t="s">
        <v>10</v>
      </c>
      <c r="B15" s="21">
        <f>'[1]4 Column'!D47</f>
        <v>0</v>
      </c>
      <c r="C15" s="21">
        <f>'[1]4 Column'!O47</f>
        <v>0</v>
      </c>
      <c r="D15" s="21">
        <f>'[1]4 Column'!P47+'[1]4 Column'!P48</f>
        <v>0</v>
      </c>
      <c r="E15" s="21">
        <f>IF($B$5=0,$B$5,(+D15/$B$5))</f>
        <v>0</v>
      </c>
    </row>
    <row r="16" spans="1:7" ht="14.1" customHeight="1" x14ac:dyDescent="0.25">
      <c r="A16" s="22" t="s">
        <v>11</v>
      </c>
      <c r="B16" s="21">
        <f>'[1]4 Column'!D49</f>
        <v>0</v>
      </c>
      <c r="C16" s="21">
        <f>'[1]4 Column'!O49</f>
        <v>0</v>
      </c>
      <c r="D16" s="21">
        <f>'[1]4 Column'!P49</f>
        <v>0</v>
      </c>
      <c r="E16" s="21">
        <f>IF($B$5=0,$B$5,(+D16/$B$5))</f>
        <v>0</v>
      </c>
    </row>
    <row r="17" spans="1:5" ht="6" customHeight="1" x14ac:dyDescent="0.25">
      <c r="A17" s="22"/>
      <c r="B17" s="29"/>
      <c r="C17" s="29"/>
      <c r="D17" s="29"/>
      <c r="E17" s="29"/>
    </row>
    <row r="18" spans="1:5" ht="15" customHeight="1" x14ac:dyDescent="0.25">
      <c r="A18" s="22" t="s">
        <v>12</v>
      </c>
      <c r="B18" s="30">
        <f>B11-SUM(B14:B16)</f>
        <v>1967172</v>
      </c>
      <c r="C18" s="30">
        <f>C11-SUM(C14:C16)</f>
        <v>1989559</v>
      </c>
      <c r="D18" s="30">
        <f ca="1">D11-SUM(D14:D16)</f>
        <v>1999150.02</v>
      </c>
      <c r="E18" s="31">
        <f ca="1">IF($B$5=0,$B$5,(+D18/$B$5))</f>
        <v>33319.167000000001</v>
      </c>
    </row>
    <row r="19" spans="1:5" ht="6" customHeight="1" x14ac:dyDescent="0.25">
      <c r="A19" s="22"/>
      <c r="B19" s="24"/>
      <c r="C19" s="24"/>
      <c r="D19" s="24"/>
      <c r="E19" s="24"/>
    </row>
    <row r="20" spans="1:5" ht="15" customHeight="1" x14ac:dyDescent="0.25">
      <c r="A20" s="22" t="s">
        <v>13</v>
      </c>
      <c r="B20" s="21">
        <f>'[1]4 Column'!D16+'[1]4 Column'!D18+SUM('[1]4 Column'!D20:D24)+SUM('[1]4 Column'!D25:D35)+'[1]4 Column'!D55+'[1]4 Column'!D61</f>
        <v>4728</v>
      </c>
      <c r="C20" s="21">
        <f>'[1]4 Column'!O16+'[1]4 Column'!O18+'[1]4 Column'!O20+'[1]4 Column'!O21+'[1]4 Column'!O22+'[1]4 Column'!O23+'[1]4 Column'!O24+'[1]4 Column'!O25+'[1]4 Column'!O35+'[1]4 Column'!O55+'[1]4 Column'!O61</f>
        <v>6396</v>
      </c>
      <c r="D20" s="21">
        <f>'[1]4 Column'!P11+'[1]4 Column'!P16+'[1]4 Column'!P18+SUM('[1]4 Column'!P20:'[1]4 Column'!P35)+'[1]4 Column'!P55+'[1]4 Column'!P61</f>
        <v>6516.0879999999997</v>
      </c>
      <c r="E20" s="21">
        <f>IF($B$5=0,$B$5,(+D20/$B$5))</f>
        <v>108.60146666666667</v>
      </c>
    </row>
    <row r="21" spans="1:5" ht="8.1" customHeight="1" x14ac:dyDescent="0.25">
      <c r="A21" s="22"/>
      <c r="B21" s="29"/>
      <c r="C21" s="29"/>
      <c r="D21" s="29"/>
      <c r="E21" s="29"/>
    </row>
    <row r="22" spans="1:5" ht="18" customHeight="1" x14ac:dyDescent="0.25">
      <c r="A22" s="19" t="s">
        <v>14</v>
      </c>
      <c r="B22" s="30">
        <f>SUM(B18:B20)</f>
        <v>1971900</v>
      </c>
      <c r="C22" s="30">
        <f>SUM(C18:C20)</f>
        <v>1995955</v>
      </c>
      <c r="D22" s="30">
        <f ca="1">SUM(D18:D20)</f>
        <v>2005666.108</v>
      </c>
      <c r="E22" s="31">
        <f ca="1">IF($B$5=0,$B$5,(+D22/$B$5))</f>
        <v>33427.768466666668</v>
      </c>
    </row>
    <row r="23" spans="1:5" ht="6" customHeight="1" x14ac:dyDescent="0.25">
      <c r="A23" s="22"/>
      <c r="B23" s="24"/>
      <c r="C23" s="24"/>
      <c r="D23" s="24"/>
      <c r="E23" s="24"/>
    </row>
    <row r="24" spans="1:5" ht="18" customHeight="1" x14ac:dyDescent="0.25">
      <c r="A24" s="19" t="s">
        <v>15</v>
      </c>
      <c r="B24" s="24"/>
      <c r="C24" s="24"/>
      <c r="D24" s="24"/>
      <c r="E24" s="24"/>
    </row>
    <row r="25" spans="1:5" ht="6" customHeight="1" x14ac:dyDescent="0.25">
      <c r="A25" s="22"/>
      <c r="B25" s="24"/>
      <c r="C25" s="24"/>
      <c r="D25" s="24"/>
      <c r="E25" s="24"/>
    </row>
    <row r="26" spans="1:5" ht="15" customHeight="1" x14ac:dyDescent="0.25">
      <c r="A26" s="22" t="s">
        <v>16</v>
      </c>
      <c r="B26" s="21">
        <f>'[1]4 Column'!D85</f>
        <v>1352</v>
      </c>
      <c r="C26" s="21">
        <f>'[1]4 Column'!O85</f>
        <v>712</v>
      </c>
      <c r="D26" s="21">
        <f>'[1]4 Column'!P85</f>
        <v>1340</v>
      </c>
      <c r="E26" s="21">
        <f t="shared" ref="E26:E32" si="0">IF($B$5=0,$B$5,(+D26/$B$5))</f>
        <v>22.333333333333332</v>
      </c>
    </row>
    <row r="27" spans="1:5" ht="15" customHeight="1" x14ac:dyDescent="0.25">
      <c r="A27" s="22" t="s">
        <v>17</v>
      </c>
      <c r="B27" s="21">
        <f>'[1]4 Column'!D108</f>
        <v>30497</v>
      </c>
      <c r="C27" s="21">
        <f>'[1]4 Column'!O108</f>
        <v>30744.720000000001</v>
      </c>
      <c r="D27" s="21">
        <f>'[1]4 Column'!P108</f>
        <v>34880.359999999993</v>
      </c>
      <c r="E27" s="21">
        <f t="shared" si="0"/>
        <v>581.33933333333323</v>
      </c>
    </row>
    <row r="28" spans="1:5" ht="15" customHeight="1" x14ac:dyDescent="0.25">
      <c r="A28" s="22" t="s">
        <v>18</v>
      </c>
      <c r="B28" s="21">
        <f>'[1]4 Column'!D120</f>
        <v>210913</v>
      </c>
      <c r="C28" s="21">
        <f>'[1]4 Column'!O120</f>
        <v>211085</v>
      </c>
      <c r="D28" s="21">
        <f>'[1]4 Column'!P120</f>
        <v>223745.24564483296</v>
      </c>
      <c r="E28" s="21">
        <f t="shared" si="0"/>
        <v>3729.0874274138828</v>
      </c>
    </row>
    <row r="29" spans="1:5" ht="15" customHeight="1" x14ac:dyDescent="0.25">
      <c r="A29" s="22" t="s">
        <v>19</v>
      </c>
      <c r="B29" s="21">
        <f>'[1]4 Column'!D137</f>
        <v>65232</v>
      </c>
      <c r="C29" s="21">
        <f>'[1]4 Column'!O137</f>
        <v>63893</v>
      </c>
      <c r="D29" s="21">
        <f>'[1]4 Column'!P137</f>
        <v>69733</v>
      </c>
      <c r="E29" s="21">
        <f t="shared" si="0"/>
        <v>1162.2166666666667</v>
      </c>
    </row>
    <row r="30" spans="1:5" ht="15" customHeight="1" x14ac:dyDescent="0.25">
      <c r="A30" s="22" t="s">
        <v>20</v>
      </c>
      <c r="B30" s="21">
        <f>'[1]4 Column'!D152</f>
        <v>115457</v>
      </c>
      <c r="C30" s="21">
        <f>'[1]4 Column'!O152</f>
        <v>133509</v>
      </c>
      <c r="D30" s="21">
        <f>'[1]4 Column'!P152</f>
        <v>133292.92083333334</v>
      </c>
      <c r="E30" s="21">
        <f t="shared" si="0"/>
        <v>2221.5486805555556</v>
      </c>
    </row>
    <row r="31" spans="1:5" ht="15" customHeight="1" x14ac:dyDescent="0.25">
      <c r="A31" s="22" t="s">
        <v>21</v>
      </c>
      <c r="B31" s="21">
        <f>'[1]4 Column'!D196</f>
        <v>112037</v>
      </c>
      <c r="C31" s="21">
        <f>'[1]4 Column'!O196</f>
        <v>116867</v>
      </c>
      <c r="D31" s="21">
        <f>'[1]4 Column'!P196</f>
        <v>132335</v>
      </c>
      <c r="E31" s="21">
        <f t="shared" si="0"/>
        <v>2205.5833333333335</v>
      </c>
    </row>
    <row r="32" spans="1:5" ht="15.75" customHeight="1" x14ac:dyDescent="0.25">
      <c r="A32" s="32" t="s">
        <v>22</v>
      </c>
      <c r="B32" s="33">
        <f>'[1]4 Column'!D273</f>
        <v>59009.919999999998</v>
      </c>
      <c r="C32" s="34">
        <f>'[1]4 Column'!N273</f>
        <v>37840</v>
      </c>
      <c r="D32" s="34">
        <f>'[1]4 Column'!P273</f>
        <v>71660</v>
      </c>
      <c r="E32" s="21">
        <f t="shared" si="0"/>
        <v>1194.3333333333333</v>
      </c>
    </row>
    <row r="33" spans="1:5" ht="8.25" customHeight="1" x14ac:dyDescent="0.25">
      <c r="A33" s="22"/>
      <c r="B33" s="21"/>
      <c r="C33" s="21"/>
      <c r="D33" s="21"/>
      <c r="E33" s="21"/>
    </row>
    <row r="34" spans="1:5" ht="18" customHeight="1" x14ac:dyDescent="0.25">
      <c r="A34" s="19" t="s">
        <v>23</v>
      </c>
      <c r="B34" s="30">
        <f>SUM(B26:B32)</f>
        <v>594497.92000000004</v>
      </c>
      <c r="C34" s="30">
        <f>SUM(C26:C32)</f>
        <v>594650.72</v>
      </c>
      <c r="D34" s="30">
        <f>SUM(D26:D32)</f>
        <v>666986.52647816623</v>
      </c>
      <c r="E34" s="31">
        <f>IF($B$5=0,$B$5,(+D34/$B$5))</f>
        <v>11116.442107969437</v>
      </c>
    </row>
    <row r="35" spans="1:5" ht="6" customHeight="1" x14ac:dyDescent="0.25">
      <c r="A35" s="22"/>
      <c r="B35" s="23"/>
      <c r="C35" s="23"/>
      <c r="D35" s="23"/>
      <c r="E35" s="23"/>
    </row>
    <row r="36" spans="1:5" ht="15" customHeight="1" x14ac:dyDescent="0.25">
      <c r="A36" s="22" t="s">
        <v>24</v>
      </c>
      <c r="B36" s="21">
        <f>'[1]4 Column'!D203</f>
        <v>56923</v>
      </c>
      <c r="C36" s="21">
        <f>'[1]4 Column'!O203</f>
        <v>56925</v>
      </c>
      <c r="D36" s="21">
        <f ca="1">'[1]4 Column'!P203</f>
        <v>57998.196778000005</v>
      </c>
      <c r="E36" s="21">
        <f t="shared" ref="E36:E42" ca="1" si="1">IF($B$5=0,$B$5,(+D36/$B$5))</f>
        <v>966.6366129666668</v>
      </c>
    </row>
    <row r="37" spans="1:5" ht="15" customHeight="1" x14ac:dyDescent="0.25">
      <c r="A37" s="22" t="s">
        <v>25</v>
      </c>
      <c r="B37" s="21">
        <f>'[1]4 Column'!D204</f>
        <v>0</v>
      </c>
      <c r="C37" s="21">
        <f>'[1]4 Column'!O204</f>
        <v>0</v>
      </c>
      <c r="D37" s="21">
        <f ca="1">'[1]4 Column'!P204</f>
        <v>0</v>
      </c>
      <c r="E37" s="21">
        <f t="shared" ca="1" si="1"/>
        <v>0</v>
      </c>
    </row>
    <row r="38" spans="1:5" ht="15" customHeight="1" x14ac:dyDescent="0.25">
      <c r="A38" s="22" t="s">
        <v>26</v>
      </c>
      <c r="B38" s="21">
        <f>'[1]4 Column'!D205</f>
        <v>21636</v>
      </c>
      <c r="C38" s="21">
        <f>'[1]4 Column'!O205</f>
        <v>21636</v>
      </c>
      <c r="D38" s="21">
        <f>'[1]4 Column'!P205</f>
        <v>23000.000000000004</v>
      </c>
      <c r="E38" s="21">
        <f t="shared" si="1"/>
        <v>383.33333333333337</v>
      </c>
    </row>
    <row r="39" spans="1:5" ht="15" customHeight="1" x14ac:dyDescent="0.25">
      <c r="A39" s="22" t="s">
        <v>27</v>
      </c>
      <c r="B39" s="21">
        <f>'[1]4 Column'!D206</f>
        <v>4500</v>
      </c>
      <c r="C39" s="21">
        <f>'[1]4 Column'!O206</f>
        <v>339</v>
      </c>
      <c r="D39" s="21">
        <f>'[1]4 Column'!P206</f>
        <v>339</v>
      </c>
      <c r="E39" s="21">
        <f t="shared" si="1"/>
        <v>5.65</v>
      </c>
    </row>
    <row r="40" spans="1:5" ht="15" customHeight="1" x14ac:dyDescent="0.25">
      <c r="A40" s="22" t="s">
        <v>28</v>
      </c>
      <c r="B40" s="21">
        <f>'[1]4 Column'!D207+'[1]4 Column'!D208</f>
        <v>1908</v>
      </c>
      <c r="C40" s="21">
        <f>'[1]4 Column'!O207+'[1]4 Column'!O208</f>
        <v>10500</v>
      </c>
      <c r="D40" s="21">
        <f>'[1]4 Column'!P207+'[1]4 Column'!P208</f>
        <v>4000.0000000000005</v>
      </c>
      <c r="E40" s="21">
        <f t="shared" si="1"/>
        <v>66.666666666666671</v>
      </c>
    </row>
    <row r="41" spans="1:5" ht="15" customHeight="1" x14ac:dyDescent="0.25">
      <c r="A41" s="22" t="s">
        <v>29</v>
      </c>
      <c r="B41" s="21">
        <f>'[1]4 Column'!D209</f>
        <v>0</v>
      </c>
      <c r="C41" s="21">
        <f>'[1]4 Column'!O209</f>
        <v>0</v>
      </c>
      <c r="D41" s="21">
        <f>'[1]4 Column'!P209</f>
        <v>0</v>
      </c>
      <c r="E41" s="21">
        <f t="shared" si="1"/>
        <v>0</v>
      </c>
    </row>
    <row r="42" spans="1:5" ht="15" customHeight="1" x14ac:dyDescent="0.25">
      <c r="A42" s="22" t="s">
        <v>30</v>
      </c>
      <c r="B42" s="21">
        <f>SUM('[1]4 Column'!D210:D211)</f>
        <v>83228</v>
      </c>
      <c r="C42" s="21">
        <f>SUM('[1]4 Column'!O210:O211)</f>
        <v>77880</v>
      </c>
      <c r="D42" s="21">
        <f>SUM('[1]4 Column'!P210:P211)</f>
        <v>108673</v>
      </c>
      <c r="E42" s="21">
        <f t="shared" si="1"/>
        <v>1811.2166666666667</v>
      </c>
    </row>
    <row r="43" spans="1:5" ht="6" customHeight="1" x14ac:dyDescent="0.25">
      <c r="A43" s="22"/>
      <c r="B43" s="29"/>
      <c r="C43" s="29"/>
      <c r="D43" s="29"/>
      <c r="E43" s="29"/>
    </row>
    <row r="44" spans="1:5" ht="18" customHeight="1" x14ac:dyDescent="0.25">
      <c r="A44" s="19" t="s">
        <v>31</v>
      </c>
      <c r="B44" s="30">
        <f>SUM(B36:B43)</f>
        <v>168195</v>
      </c>
      <c r="C44" s="30">
        <f>SUM(C36:C43)</f>
        <v>167280</v>
      </c>
      <c r="D44" s="30">
        <f ca="1">SUM(D36:D43)</f>
        <v>194010.19677800001</v>
      </c>
      <c r="E44" s="31">
        <f ca="1">IF($B$5=0,$B$5,(+D44/$B$5))</f>
        <v>3233.5032796333335</v>
      </c>
    </row>
    <row r="45" spans="1:5" ht="6" customHeight="1" x14ac:dyDescent="0.25">
      <c r="A45" s="22"/>
      <c r="B45" s="23"/>
      <c r="C45" s="23"/>
      <c r="D45" s="23"/>
      <c r="E45" s="23"/>
    </row>
    <row r="46" spans="1:5" ht="30" x14ac:dyDescent="0.25">
      <c r="A46" s="35" t="s">
        <v>32</v>
      </c>
      <c r="B46" s="24">
        <f>B34+B44</f>
        <v>762692.92</v>
      </c>
      <c r="C46" s="24">
        <f>C34+C44</f>
        <v>761930.72</v>
      </c>
      <c r="D46" s="24">
        <f ca="1">D34+D44</f>
        <v>860996.72325616621</v>
      </c>
      <c r="E46" s="21">
        <f ca="1">IF($B$5=0,$B$5,(+D46/$B$5))</f>
        <v>14349.945387602771</v>
      </c>
    </row>
    <row r="47" spans="1:5" ht="6" customHeight="1" x14ac:dyDescent="0.25">
      <c r="A47" s="22"/>
      <c r="B47" s="23"/>
      <c r="C47" s="23"/>
      <c r="D47" s="23"/>
      <c r="E47" s="21"/>
    </row>
    <row r="48" spans="1:5" ht="15" customHeight="1" x14ac:dyDescent="0.25">
      <c r="A48" s="22" t="s">
        <v>33</v>
      </c>
      <c r="B48" s="21">
        <f>'[1]4 Column'!D217</f>
        <v>95377</v>
      </c>
      <c r="C48" s="21">
        <f>'[1]4 Column'!O217</f>
        <v>87935</v>
      </c>
      <c r="D48" s="21">
        <f>'[1]4 Column'!P217</f>
        <v>93970</v>
      </c>
      <c r="E48" s="21">
        <f>IF($B$5=0,$B$5,(+D48/$B$5))</f>
        <v>1566.1666666666667</v>
      </c>
    </row>
    <row r="49" spans="1:6" ht="15" customHeight="1" x14ac:dyDescent="0.25">
      <c r="A49" s="22" t="s">
        <v>34</v>
      </c>
      <c r="B49" s="21">
        <f>'[1]4 Column'!D219+'[1]4 Column'!D220+'[1]4 Column'!D218</f>
        <v>382851.96</v>
      </c>
      <c r="C49" s="21">
        <f>'[1]4 Column'!O219+'[1]4 Column'!O220+'[1]4 Column'!O218</f>
        <v>382852</v>
      </c>
      <c r="D49" s="21">
        <f>'[1]4 Column'!P219+'[1]4 Column'!P220+'[1]4 Column'!P218</f>
        <v>368816.00000000006</v>
      </c>
      <c r="E49" s="21">
        <f>IF($B$5=0,$B$5,(+D49/$B$5))</f>
        <v>6146.9333333333343</v>
      </c>
    </row>
    <row r="50" spans="1:6" ht="22.5" customHeight="1" x14ac:dyDescent="0.25">
      <c r="A50" s="22" t="s">
        <v>35</v>
      </c>
      <c r="B50" s="33">
        <v>0</v>
      </c>
      <c r="C50" s="34">
        <v>0</v>
      </c>
      <c r="D50" s="34">
        <v>0</v>
      </c>
      <c r="E50" s="21">
        <f>IF($B$5=0,$B$5,(+D50/$B$5))</f>
        <v>0</v>
      </c>
      <c r="F50" s="22"/>
    </row>
    <row r="51" spans="1:6" ht="22.5" customHeight="1" x14ac:dyDescent="0.25">
      <c r="A51" s="22" t="s">
        <v>36</v>
      </c>
      <c r="B51" s="21">
        <f>'[1]4 Column'!D280</f>
        <v>372000</v>
      </c>
      <c r="C51" s="36">
        <f>'[1]4 Column'!N280</f>
        <v>545058</v>
      </c>
      <c r="D51" s="37">
        <f>'[1]4 Column'!P280+C67</f>
        <v>573725.35200000007</v>
      </c>
      <c r="E51" s="21">
        <f>IF($B$5=0,$B$5,(+D51/$B$5))</f>
        <v>9562.0892000000003</v>
      </c>
    </row>
    <row r="52" spans="1:6" ht="22.5" customHeight="1" x14ac:dyDescent="0.25">
      <c r="A52" s="22"/>
      <c r="B52" s="21"/>
      <c r="C52" s="36"/>
      <c r="D52" s="21"/>
      <c r="E52" s="21"/>
    </row>
    <row r="53" spans="1:6" ht="22.5" customHeight="1" x14ac:dyDescent="0.25">
      <c r="A53" s="22"/>
      <c r="B53" s="21"/>
      <c r="C53" s="36"/>
      <c r="D53" s="21"/>
      <c r="E53" s="21"/>
    </row>
    <row r="54" spans="1:6" ht="22.5" customHeight="1" thickBot="1" x14ac:dyDescent="0.3">
      <c r="A54" s="38" t="s">
        <v>37</v>
      </c>
      <c r="B54" s="39">
        <f>SUM(B48:B53)</f>
        <v>850228.96</v>
      </c>
      <c r="C54" s="39">
        <f t="shared" ref="C54:D54" si="2">SUM(C48:C53)</f>
        <v>1015845</v>
      </c>
      <c r="D54" s="39">
        <f t="shared" si="2"/>
        <v>1036511.3520000002</v>
      </c>
      <c r="E54" s="39">
        <f t="shared" ref="E54" si="3">IF($B$5=0,$B$5,(+D54/$B$5))</f>
        <v>17275.189200000004</v>
      </c>
    </row>
    <row r="55" spans="1:6" ht="7.5" customHeight="1" thickTop="1" x14ac:dyDescent="0.25">
      <c r="A55" s="38"/>
      <c r="B55" s="40"/>
      <c r="C55" s="41"/>
      <c r="D55" s="40"/>
      <c r="E55" s="40"/>
    </row>
    <row r="56" spans="1:6" ht="22.5" hidden="1" customHeight="1" x14ac:dyDescent="0.25">
      <c r="A56" s="38"/>
      <c r="B56" s="40"/>
      <c r="C56" s="41"/>
      <c r="D56" s="40"/>
      <c r="E56" s="40"/>
    </row>
    <row r="57" spans="1:6" ht="15" x14ac:dyDescent="0.25">
      <c r="A57" s="38" t="s">
        <v>38</v>
      </c>
      <c r="B57" s="40"/>
      <c r="C57" s="40"/>
      <c r="D57" s="40"/>
      <c r="E57" s="40"/>
    </row>
    <row r="58" spans="1:6" x14ac:dyDescent="0.25">
      <c r="A58" s="32" t="s">
        <v>39</v>
      </c>
      <c r="B58" s="42">
        <v>0</v>
      </c>
      <c r="C58" s="42">
        <v>0</v>
      </c>
      <c r="D58" s="42">
        <v>0</v>
      </c>
      <c r="E58" s="42">
        <f>IF($B$5=0,$B$5,(+D58/$B$5))</f>
        <v>0</v>
      </c>
    </row>
    <row r="59" spans="1:6" hidden="1" x14ac:dyDescent="0.25">
      <c r="A59" s="32" t="s">
        <v>40</v>
      </c>
      <c r="B59" s="42"/>
      <c r="C59" s="42"/>
      <c r="D59" s="42"/>
      <c r="E59" s="42"/>
    </row>
    <row r="60" spans="1:6" x14ac:dyDescent="0.25">
      <c r="A60" s="32" t="s">
        <v>41</v>
      </c>
      <c r="B60" s="43">
        <v>4130</v>
      </c>
      <c r="C60" s="43">
        <v>0</v>
      </c>
      <c r="D60" s="43">
        <v>0</v>
      </c>
      <c r="E60" s="43">
        <f>IF($B$5=0,$B$5,(+D60/$B$5))</f>
        <v>0</v>
      </c>
    </row>
    <row r="61" spans="1:6" ht="22.5" hidden="1" customHeight="1" x14ac:dyDescent="0.25">
      <c r="A61" s="38"/>
      <c r="B61" s="42"/>
      <c r="C61" s="44"/>
      <c r="D61" s="42"/>
      <c r="E61" s="42"/>
    </row>
    <row r="62" spans="1:6" ht="18" customHeight="1" x14ac:dyDescent="0.25">
      <c r="A62" s="19" t="s">
        <v>42</v>
      </c>
      <c r="B62" s="30">
        <f>B46+B54+B58+B60</f>
        <v>1617051.88</v>
      </c>
      <c r="C62" s="45">
        <f t="shared" ref="C62:D62" si="4">C46+C54+C58+C60</f>
        <v>1777775.72</v>
      </c>
      <c r="D62" s="30">
        <f t="shared" ca="1" si="4"/>
        <v>1897508.0752561665</v>
      </c>
      <c r="E62" s="31">
        <f ca="1">IF($B$5=0,$B$5,(+D62/$B$5))</f>
        <v>31625.134587602774</v>
      </c>
    </row>
    <row r="63" spans="1:6" ht="6" customHeight="1" x14ac:dyDescent="0.25">
      <c r="A63" s="22"/>
      <c r="B63" s="24"/>
      <c r="C63" s="46"/>
      <c r="D63" s="24"/>
      <c r="E63" s="24"/>
    </row>
    <row r="64" spans="1:6" ht="18" customHeight="1" x14ac:dyDescent="0.25">
      <c r="A64" s="47" t="s">
        <v>43</v>
      </c>
      <c r="B64" s="48">
        <f>B22-B62</f>
        <v>354848.12000000011</v>
      </c>
      <c r="C64" s="48">
        <f>C22-C62</f>
        <v>218179.28000000003</v>
      </c>
      <c r="D64" s="49">
        <f ca="1">D22-D62</f>
        <v>108158.03274383349</v>
      </c>
      <c r="E64" s="29">
        <f ca="1">IF($B$5=0,$B$5,(+D64/$B$5))</f>
        <v>1802.6338790638915</v>
      </c>
    </row>
    <row r="65" spans="1:5" ht="3" customHeight="1" x14ac:dyDescent="0.25">
      <c r="A65" s="22" t="s">
        <v>4</v>
      </c>
      <c r="B65" s="50" t="s">
        <v>4</v>
      </c>
      <c r="C65" s="50" t="s">
        <v>4</v>
      </c>
      <c r="D65" s="51" t="s">
        <v>4</v>
      </c>
      <c r="E65" s="50" t="s">
        <v>4</v>
      </c>
    </row>
    <row r="66" spans="1:5" ht="18" customHeight="1" x14ac:dyDescent="0.25">
      <c r="A66" s="52"/>
      <c r="B66" s="53"/>
      <c r="C66" s="53"/>
      <c r="D66" s="53"/>
      <c r="E66" s="33"/>
    </row>
    <row r="67" spans="1:5" ht="18" customHeight="1" x14ac:dyDescent="0.25">
      <c r="A67" s="54" t="s">
        <v>44</v>
      </c>
      <c r="B67" s="55"/>
      <c r="C67" s="56">
        <f>C64*0.9</f>
        <v>196361.35200000004</v>
      </c>
      <c r="D67" s="55"/>
      <c r="E67" s="55"/>
    </row>
    <row r="68" spans="1:5" ht="18" customHeight="1" x14ac:dyDescent="0.25">
      <c r="A68" s="52"/>
      <c r="B68" s="53"/>
      <c r="C68" s="53"/>
      <c r="D68" s="53"/>
      <c r="E68" s="33"/>
    </row>
    <row r="69" spans="1:5" ht="45" x14ac:dyDescent="0.25">
      <c r="A69" s="57" t="s">
        <v>45</v>
      </c>
      <c r="B69" s="58" t="s">
        <v>46</v>
      </c>
      <c r="C69" s="58" t="s">
        <v>47</v>
      </c>
      <c r="D69" s="58" t="s">
        <v>48</v>
      </c>
      <c r="E69" s="53"/>
    </row>
    <row r="70" spans="1:5" x14ac:dyDescent="0.25">
      <c r="A70" s="59" t="s">
        <v>49</v>
      </c>
      <c r="B70" s="60">
        <v>1230546</v>
      </c>
      <c r="C70" s="61">
        <v>1338295</v>
      </c>
      <c r="D70" s="60">
        <f>C73</f>
        <v>1883353</v>
      </c>
      <c r="E70" s="53"/>
    </row>
    <row r="71" spans="1:5" x14ac:dyDescent="0.25">
      <c r="A71" s="62" t="s">
        <v>50</v>
      </c>
      <c r="B71" s="63">
        <f>B51</f>
        <v>372000</v>
      </c>
      <c r="C71" s="63">
        <f>C51</f>
        <v>545058</v>
      </c>
      <c r="D71" s="63">
        <f>D51</f>
        <v>573725.35200000007</v>
      </c>
      <c r="E71" s="53"/>
    </row>
    <row r="72" spans="1:5" x14ac:dyDescent="0.25">
      <c r="A72" s="64" t="s">
        <v>51</v>
      </c>
      <c r="B72" s="63">
        <f>'[1]4 Column'!D281</f>
        <v>373800</v>
      </c>
      <c r="C72" s="63">
        <v>0</v>
      </c>
      <c r="D72" s="63">
        <v>373800</v>
      </c>
      <c r="E72" s="53"/>
    </row>
    <row r="73" spans="1:5" x14ac:dyDescent="0.25">
      <c r="A73" s="64" t="s">
        <v>52</v>
      </c>
      <c r="B73" s="63">
        <f>B70+B71-B72</f>
        <v>1228746</v>
      </c>
      <c r="C73" s="63">
        <f t="shared" ref="C73:D73" si="5">C70+C71-C72</f>
        <v>1883353</v>
      </c>
      <c r="D73" s="63">
        <f t="shared" si="5"/>
        <v>2083278.352</v>
      </c>
      <c r="E73" s="53"/>
    </row>
    <row r="74" spans="1:5" x14ac:dyDescent="0.25">
      <c r="A74" s="65"/>
      <c r="B74" s="66"/>
      <c r="C74" s="66"/>
      <c r="D74" s="66"/>
      <c r="E74" s="53"/>
    </row>
    <row r="75" spans="1:5" x14ac:dyDescent="0.25">
      <c r="A75" s="67"/>
      <c r="B75" s="67"/>
      <c r="C75" s="67"/>
      <c r="D75" s="67"/>
    </row>
    <row r="76" spans="1:5" ht="15" x14ac:dyDescent="0.25">
      <c r="A76" s="68" t="s">
        <v>53</v>
      </c>
      <c r="B76" s="68"/>
      <c r="C76" s="54" t="s">
        <v>54</v>
      </c>
      <c r="D76" s="54" t="s">
        <v>55</v>
      </c>
    </row>
    <row r="77" spans="1:5" x14ac:dyDescent="0.25">
      <c r="A77" s="54" t="s">
        <v>40</v>
      </c>
      <c r="B77" s="54"/>
      <c r="C77" s="54">
        <v>0</v>
      </c>
      <c r="D77" s="54">
        <v>0</v>
      </c>
    </row>
    <row r="78" spans="1:5" x14ac:dyDescent="0.25">
      <c r="A78" s="54" t="s">
        <v>56</v>
      </c>
      <c r="B78" s="54"/>
      <c r="C78" s="54">
        <v>0</v>
      </c>
      <c r="D78" s="54">
        <v>73800</v>
      </c>
    </row>
    <row r="79" spans="1:5" x14ac:dyDescent="0.25">
      <c r="A79" s="54" t="s">
        <v>57</v>
      </c>
      <c r="B79" s="54"/>
      <c r="C79" s="54">
        <v>0</v>
      </c>
      <c r="D79" s="54">
        <v>300000</v>
      </c>
    </row>
  </sheetData>
  <mergeCells count="2">
    <mergeCell ref="A1:E1"/>
    <mergeCell ref="A2:E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Gallagher</dc:creator>
  <cp:lastModifiedBy>Erin Gallagher</cp:lastModifiedBy>
  <dcterms:created xsi:type="dcterms:W3CDTF">2025-11-12T22:23:17Z</dcterms:created>
  <dcterms:modified xsi:type="dcterms:W3CDTF">2025-11-12T23:10:34Z</dcterms:modified>
</cp:coreProperties>
</file>