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ingham Site Local Copy\Committees\Water_Company\documents\2018\"/>
    </mc:Choice>
  </mc:AlternateContent>
  <bookViews>
    <workbookView xWindow="0" yWindow="0" windowWidth="21600" windowHeight="7005"/>
  </bookViews>
  <sheets>
    <sheet name="Affordability Variables" sheetId="11" r:id="rId1"/>
    <sheet name="Acq. &amp; Maint. Affordability" sheetId="7" r:id="rId2"/>
    <sheet name="Acquisition L-T Borrowing" sheetId="8" r:id="rId3"/>
    <sheet name="Acquisition S-T Borrowing" sheetId="15" r:id="rId4"/>
    <sheet name="Annual Capex Borrowing" sheetId="9" r:id="rId5"/>
  </sheets>
  <definedNames>
    <definedName name="_xlnm.Print_Area" localSheetId="2">'Acquisition L-T Borrowing'!$A$1:$F$70</definedName>
    <definedName name="_xlnm.Print_Area" localSheetId="0">'Affordability Variables'!$A$1:$E$23</definedName>
    <definedName name="_xlnm.Print_Titles" localSheetId="1">'Acq. &amp; Maint. Affordability'!$A:$B,'Acq. &amp; Maint. Affordability'!$1:$1</definedName>
    <definedName name="_xlnm.Print_Titles" localSheetId="2">'Acquisition L-T Borrowing'!$1:$5</definedName>
  </definedNames>
  <calcPr calcId="179017"/>
</workbook>
</file>

<file path=xl/calcChain.xml><?xml version="1.0" encoding="utf-8"?>
<calcChain xmlns="http://schemas.openxmlformats.org/spreadsheetml/2006/main">
  <c r="AN81" i="7" l="1"/>
  <c r="AM81" i="7"/>
  <c r="AL81" i="7"/>
  <c r="AK81" i="7"/>
  <c r="AJ81" i="7"/>
  <c r="AI81" i="7"/>
  <c r="AH81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G26" i="7" l="1"/>
  <c r="I28" i="7" s="1"/>
  <c r="H22" i="7"/>
  <c r="G25" i="7"/>
  <c r="G24" i="7" s="1"/>
  <c r="K31" i="7" l="1"/>
  <c r="L31" i="7" s="1"/>
  <c r="I29" i="7"/>
  <c r="H32" i="7" s="1"/>
  <c r="H35" i="7" s="1"/>
  <c r="J31" i="7"/>
  <c r="I31" i="7"/>
  <c r="H31" i="7"/>
  <c r="H34" i="7" l="1"/>
  <c r="H33" i="7"/>
  <c r="I32" i="7"/>
  <c r="J32" i="7" l="1"/>
  <c r="J33" i="7" s="1"/>
  <c r="I33" i="7"/>
  <c r="I34" i="7"/>
  <c r="K33" i="7" l="1"/>
  <c r="K32" i="7"/>
  <c r="K34" i="7" s="1"/>
  <c r="J34" i="7"/>
  <c r="H49" i="7"/>
  <c r="I49" i="7" s="1"/>
  <c r="J29" i="7"/>
  <c r="D15" i="7"/>
  <c r="D13" i="7"/>
  <c r="D11" i="7"/>
  <c r="C11" i="7"/>
  <c r="C14" i="7" s="1"/>
  <c r="K29" i="7" l="1"/>
  <c r="D14" i="7"/>
  <c r="D38" i="7" s="1"/>
  <c r="D43" i="7" s="1"/>
  <c r="C38" i="7"/>
  <c r="C43" i="7" s="1"/>
  <c r="C16" i="7"/>
  <c r="C18" i="7" s="1"/>
  <c r="C20" i="11"/>
  <c r="C21" i="11" s="1"/>
  <c r="C22" i="11" l="1"/>
  <c r="I35" i="7"/>
  <c r="D16" i="7"/>
  <c r="D18" i="7" s="1"/>
  <c r="AA7" i="7"/>
  <c r="AA11" i="7" s="1"/>
  <c r="Z12" i="7"/>
  <c r="Z10" i="7"/>
  <c r="Z8" i="7"/>
  <c r="Z7" i="7"/>
  <c r="J35" i="7" l="1"/>
  <c r="K35" i="7"/>
  <c r="Z11" i="7"/>
  <c r="K50" i="7"/>
  <c r="J49" i="7"/>
  <c r="K49" i="7" s="1"/>
  <c r="L49" i="7" s="1"/>
  <c r="M49" i="7" s="1"/>
  <c r="N49" i="7" s="1"/>
  <c r="O49" i="7" s="1"/>
  <c r="P49" i="7" s="1"/>
  <c r="Q49" i="7" s="1"/>
  <c r="R49" i="7" s="1"/>
  <c r="S49" i="7" s="1"/>
  <c r="T49" i="7" s="1"/>
  <c r="U49" i="7" s="1"/>
  <c r="V49" i="7" s="1"/>
  <c r="W49" i="7" s="1"/>
  <c r="X49" i="7" s="1"/>
  <c r="Y49" i="7" s="1"/>
  <c r="Z49" i="7" s="1"/>
  <c r="AA49" i="7" s="1"/>
  <c r="AB49" i="7" s="1"/>
  <c r="AC49" i="7" s="1"/>
  <c r="AD49" i="7" s="1"/>
  <c r="AE49" i="7" s="1"/>
  <c r="AF49" i="7" s="1"/>
  <c r="AG49" i="7" s="1"/>
  <c r="AH49" i="7" s="1"/>
  <c r="AI49" i="7" s="1"/>
  <c r="AJ49" i="7" s="1"/>
  <c r="AK49" i="7" s="1"/>
  <c r="AL49" i="7" s="1"/>
  <c r="AM49" i="7" s="1"/>
  <c r="AN49" i="7" s="1"/>
  <c r="F7" i="15"/>
  <c r="C45" i="7"/>
  <c r="D45" i="7" s="1"/>
  <c r="E45" i="7" s="1"/>
  <c r="F45" i="7" s="1"/>
  <c r="G45" i="7" s="1"/>
  <c r="H45" i="7" s="1"/>
  <c r="I45" i="7" s="1"/>
  <c r="J45" i="7" s="1"/>
  <c r="K45" i="7" s="1"/>
  <c r="L45" i="7" s="1"/>
  <c r="M45" i="7" s="1"/>
  <c r="N45" i="7" s="1"/>
  <c r="O45" i="7" s="1"/>
  <c r="P45" i="7" s="1"/>
  <c r="Q45" i="7" s="1"/>
  <c r="R45" i="7" s="1"/>
  <c r="S45" i="7" s="1"/>
  <c r="T45" i="7" s="1"/>
  <c r="U45" i="7" s="1"/>
  <c r="V45" i="7" s="1"/>
  <c r="W45" i="7" s="1"/>
  <c r="X45" i="7" s="1"/>
  <c r="Y45" i="7" s="1"/>
  <c r="Z45" i="7" s="1"/>
  <c r="AA45" i="7" s="1"/>
  <c r="AB45" i="7" s="1"/>
  <c r="AC45" i="7" s="1"/>
  <c r="AD45" i="7" s="1"/>
  <c r="AE45" i="7" s="1"/>
  <c r="AF45" i="7" s="1"/>
  <c r="AG45" i="7" s="1"/>
  <c r="AH45" i="7" s="1"/>
  <c r="AI45" i="7" s="1"/>
  <c r="AJ45" i="7" s="1"/>
  <c r="AK45" i="7" s="1"/>
  <c r="AL45" i="7" s="1"/>
  <c r="AM45" i="7" s="1"/>
  <c r="AN45" i="7" s="1"/>
  <c r="L50" i="7" l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AA50" i="7" s="1"/>
  <c r="AB50" i="7" s="1"/>
  <c r="AC50" i="7" s="1"/>
  <c r="AD50" i="7" s="1"/>
  <c r="AE50" i="7" s="1"/>
  <c r="AF50" i="7" s="1"/>
  <c r="AG50" i="7" s="1"/>
  <c r="AH50" i="7" s="1"/>
  <c r="AI50" i="7" s="1"/>
  <c r="AJ50" i="7" s="1"/>
  <c r="AK50" i="7" s="1"/>
  <c r="AL50" i="7" s="1"/>
  <c r="AM50" i="7" s="1"/>
  <c r="AN50" i="7" s="1"/>
  <c r="G6" i="9"/>
  <c r="AO50" i="7" l="1"/>
  <c r="B58" i="7"/>
  <c r="B62" i="7"/>
  <c r="AO51" i="7" l="1"/>
  <c r="J53" i="7" l="1"/>
  <c r="K53" i="7" s="1"/>
  <c r="L53" i="7" s="1"/>
  <c r="M53" i="7" s="1"/>
  <c r="N53" i="7" s="1"/>
  <c r="O53" i="7" s="1"/>
  <c r="P53" i="7" s="1"/>
  <c r="Q53" i="7" s="1"/>
  <c r="R53" i="7" s="1"/>
  <c r="S53" i="7" s="1"/>
  <c r="T53" i="7" s="1"/>
  <c r="U53" i="7" s="1"/>
  <c r="V53" i="7" s="1"/>
  <c r="W53" i="7" s="1"/>
  <c r="X53" i="7" s="1"/>
  <c r="Y53" i="7" s="1"/>
  <c r="Z53" i="7" s="1"/>
  <c r="AA53" i="7" s="1"/>
  <c r="AB53" i="7" s="1"/>
  <c r="AC53" i="7" s="1"/>
  <c r="AD53" i="7" s="1"/>
  <c r="AE53" i="7" s="1"/>
  <c r="AF53" i="7" s="1"/>
  <c r="AG53" i="7" s="1"/>
  <c r="AH53" i="7" s="1"/>
  <c r="AI53" i="7" s="1"/>
  <c r="AJ53" i="7" s="1"/>
  <c r="AK53" i="7" s="1"/>
  <c r="AL53" i="7" s="1"/>
  <c r="AM53" i="7" s="1"/>
  <c r="AN53" i="7" s="1"/>
  <c r="J52" i="7"/>
  <c r="AO52" i="7" s="1"/>
  <c r="C4" i="11" l="1"/>
  <c r="B65" i="7" l="1"/>
  <c r="B2" i="15" l="1"/>
  <c r="B67" i="7" l="1"/>
  <c r="B66" i="7"/>
  <c r="B5" i="15"/>
  <c r="B4" i="15"/>
  <c r="F8" i="15"/>
  <c r="F6" i="8"/>
  <c r="B4" i="8"/>
  <c r="L28" i="7"/>
  <c r="L33" i="7" s="1"/>
  <c r="M33" i="7" l="1"/>
  <c r="L32" i="7"/>
  <c r="L29" i="7"/>
  <c r="U28" i="7"/>
  <c r="AM28" i="7" s="1"/>
  <c r="O28" i="7"/>
  <c r="AG28" i="7" s="1"/>
  <c r="AA28" i="7"/>
  <c r="R28" i="7"/>
  <c r="AJ28" i="7" s="1"/>
  <c r="AD28" i="7"/>
  <c r="X28" i="7"/>
  <c r="N32" i="7" l="1"/>
  <c r="M32" i="7"/>
  <c r="L34" i="7"/>
  <c r="L35" i="7"/>
  <c r="M29" i="7"/>
  <c r="B59" i="7"/>
  <c r="O32" i="7" l="1"/>
  <c r="P32" i="7" s="1"/>
  <c r="Q32" i="7" s="1"/>
  <c r="R32" i="7" s="1"/>
  <c r="S32" i="7" s="1"/>
  <c r="T32" i="7" s="1"/>
  <c r="N29" i="7"/>
  <c r="B67" i="9"/>
  <c r="U32" i="7" l="1"/>
  <c r="O29" i="7"/>
  <c r="C17" i="11"/>
  <c r="B61" i="7" s="1"/>
  <c r="B3" i="8"/>
  <c r="B2" i="9"/>
  <c r="C7" i="9" s="1"/>
  <c r="C9" i="9" s="1"/>
  <c r="C11" i="9" s="1"/>
  <c r="C13" i="9" s="1"/>
  <c r="C15" i="9" s="1"/>
  <c r="C17" i="9" s="1"/>
  <c r="C19" i="9" s="1"/>
  <c r="C21" i="9" s="1"/>
  <c r="C23" i="9" s="1"/>
  <c r="C25" i="9" s="1"/>
  <c r="C27" i="9" s="1"/>
  <c r="C29" i="9" s="1"/>
  <c r="C31" i="9" s="1"/>
  <c r="C33" i="9" s="1"/>
  <c r="C35" i="9" s="1"/>
  <c r="C37" i="9" s="1"/>
  <c r="C39" i="9" s="1"/>
  <c r="C41" i="9" s="1"/>
  <c r="C43" i="9" s="1"/>
  <c r="C45" i="9" s="1"/>
  <c r="C47" i="9" s="1"/>
  <c r="C49" i="9" s="1"/>
  <c r="C51" i="9" s="1"/>
  <c r="C53" i="9" s="1"/>
  <c r="C55" i="9" s="1"/>
  <c r="C57" i="9" s="1"/>
  <c r="C59" i="9" s="1"/>
  <c r="C61" i="9" s="1"/>
  <c r="C63" i="9" s="1"/>
  <c r="C65" i="9" s="1"/>
  <c r="B3" i="9"/>
  <c r="B57" i="7"/>
  <c r="C16" i="11"/>
  <c r="B73" i="7"/>
  <c r="B63" i="7"/>
  <c r="B74" i="7"/>
  <c r="B60" i="7"/>
  <c r="B75" i="7"/>
  <c r="B64" i="7"/>
  <c r="A70" i="9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C68" i="9"/>
  <c r="D68" i="9" s="1"/>
  <c r="E68" i="9" s="1"/>
  <c r="F68" i="9" s="1"/>
  <c r="G68" i="9" s="1"/>
  <c r="H68" i="9" s="1"/>
  <c r="I68" i="9" s="1"/>
  <c r="J68" i="9" s="1"/>
  <c r="K68" i="9" s="1"/>
  <c r="L68" i="9" s="1"/>
  <c r="M68" i="9" s="1"/>
  <c r="N68" i="9" s="1"/>
  <c r="O68" i="9" s="1"/>
  <c r="P68" i="9" s="1"/>
  <c r="Q68" i="9" s="1"/>
  <c r="R68" i="9" s="1"/>
  <c r="S68" i="9" s="1"/>
  <c r="T68" i="9" s="1"/>
  <c r="U68" i="9" s="1"/>
  <c r="C10" i="9"/>
  <c r="C12" i="9" s="1"/>
  <c r="C14" i="9" s="1"/>
  <c r="C16" i="9" s="1"/>
  <c r="F8" i="9"/>
  <c r="F10" i="9" s="1"/>
  <c r="F11" i="9" s="1"/>
  <c r="F7" i="9"/>
  <c r="F8" i="8"/>
  <c r="G8" i="9" s="1"/>
  <c r="F7" i="8"/>
  <c r="C44" i="7"/>
  <c r="V32" i="7" l="1"/>
  <c r="W32" i="7" s="1"/>
  <c r="X32" i="7" s="1"/>
  <c r="Y32" i="7" s="1"/>
  <c r="Z32" i="7" s="1"/>
  <c r="AA30" i="7" s="1"/>
  <c r="AA32" i="7" s="1"/>
  <c r="AB32" i="7" s="1"/>
  <c r="AC32" i="7" s="1"/>
  <c r="AD32" i="7" s="1"/>
  <c r="AE32" i="7" s="1"/>
  <c r="AF32" i="7" s="1"/>
  <c r="AG32" i="7" s="1"/>
  <c r="AH32" i="7" s="1"/>
  <c r="AI32" i="7" s="1"/>
  <c r="AJ32" i="7" s="1"/>
  <c r="AK32" i="7" s="1"/>
  <c r="AL32" i="7" s="1"/>
  <c r="AM32" i="7" s="1"/>
  <c r="AN32" i="7" s="1"/>
  <c r="AO32" i="7" s="1"/>
  <c r="P29" i="7"/>
  <c r="B68" i="7"/>
  <c r="B3" i="15"/>
  <c r="B7" i="15" s="1"/>
  <c r="D7" i="15" s="1"/>
  <c r="F10" i="8"/>
  <c r="F11" i="8" s="1"/>
  <c r="D44" i="7"/>
  <c r="E44" i="7" s="1"/>
  <c r="F44" i="7" s="1"/>
  <c r="G44" i="7" s="1"/>
  <c r="H44" i="7" s="1"/>
  <c r="I44" i="7" s="1"/>
  <c r="J44" i="7" s="1"/>
  <c r="K44" i="7" s="1"/>
  <c r="L44" i="7" s="1"/>
  <c r="M44" i="7" s="1"/>
  <c r="N44" i="7" s="1"/>
  <c r="O44" i="7" s="1"/>
  <c r="P44" i="7" s="1"/>
  <c r="Q44" i="7" s="1"/>
  <c r="R44" i="7" s="1"/>
  <c r="S44" i="7" s="1"/>
  <c r="T44" i="7" s="1"/>
  <c r="U44" i="7" s="1"/>
  <c r="V44" i="7" s="1"/>
  <c r="W44" i="7" s="1"/>
  <c r="X44" i="7" s="1"/>
  <c r="Y44" i="7" s="1"/>
  <c r="F9" i="8"/>
  <c r="F12" i="9"/>
  <c r="F9" i="9"/>
  <c r="B6" i="9"/>
  <c r="D6" i="9" s="1"/>
  <c r="C18" i="9"/>
  <c r="B2" i="8"/>
  <c r="B6" i="8" s="1"/>
  <c r="Q29" i="7" l="1"/>
  <c r="Z44" i="7"/>
  <c r="AA44" i="7" s="1"/>
  <c r="AB44" i="7" s="1"/>
  <c r="AC44" i="7" s="1"/>
  <c r="AD44" i="7" s="1"/>
  <c r="AE44" i="7" s="1"/>
  <c r="AF44" i="7" s="1"/>
  <c r="AG44" i="7" s="1"/>
  <c r="AH44" i="7" s="1"/>
  <c r="AI44" i="7" s="1"/>
  <c r="AJ44" i="7" s="1"/>
  <c r="AK44" i="7" s="1"/>
  <c r="AL44" i="7" s="1"/>
  <c r="AM44" i="7" s="1"/>
  <c r="AN44" i="7" s="1"/>
  <c r="B8" i="15"/>
  <c r="C8" i="15"/>
  <c r="AO49" i="7"/>
  <c r="G10" i="9"/>
  <c r="F12" i="8"/>
  <c r="F14" i="8" s="1"/>
  <c r="G14" i="9" s="1"/>
  <c r="D8" i="15"/>
  <c r="D6" i="8"/>
  <c r="C7" i="8"/>
  <c r="G12" i="9"/>
  <c r="B7" i="9"/>
  <c r="B8" i="9" s="1"/>
  <c r="B9" i="9" s="1"/>
  <c r="B10" i="9" s="1"/>
  <c r="F14" i="9"/>
  <c r="F13" i="9"/>
  <c r="C20" i="9"/>
  <c r="D7" i="9"/>
  <c r="E7" i="9" s="1"/>
  <c r="B7" i="8"/>
  <c r="R29" i="7" l="1"/>
  <c r="AO53" i="7"/>
  <c r="F13" i="8"/>
  <c r="F15" i="8"/>
  <c r="F16" i="8"/>
  <c r="G16" i="9" s="1"/>
  <c r="E8" i="15"/>
  <c r="D9" i="15"/>
  <c r="B8" i="8"/>
  <c r="D8" i="9"/>
  <c r="D9" i="9" s="1"/>
  <c r="F16" i="9"/>
  <c r="F15" i="9"/>
  <c r="B11" i="9"/>
  <c r="B12" i="9" s="1"/>
  <c r="D10" i="9"/>
  <c r="C22" i="9"/>
  <c r="B69" i="9"/>
  <c r="E72" i="9"/>
  <c r="H75" i="9"/>
  <c r="I76" i="9"/>
  <c r="G74" i="9"/>
  <c r="J77" i="9"/>
  <c r="O82" i="9"/>
  <c r="F73" i="9"/>
  <c r="L79" i="9"/>
  <c r="M80" i="9"/>
  <c r="T87" i="9"/>
  <c r="U88" i="9"/>
  <c r="C70" i="9"/>
  <c r="S86" i="9"/>
  <c r="N81" i="9"/>
  <c r="P83" i="9"/>
  <c r="Q84" i="9"/>
  <c r="D71" i="9"/>
  <c r="K78" i="9"/>
  <c r="R85" i="9"/>
  <c r="V89" i="9"/>
  <c r="W90" i="9"/>
  <c r="D7" i="8"/>
  <c r="C9" i="8"/>
  <c r="C11" i="8" s="1"/>
  <c r="C13" i="8" s="1"/>
  <c r="C15" i="8" s="1"/>
  <c r="C17" i="8" s="1"/>
  <c r="C19" i="8" s="1"/>
  <c r="C21" i="8" s="1"/>
  <c r="C23" i="8" s="1"/>
  <c r="C25" i="8" s="1"/>
  <c r="C27" i="8" s="1"/>
  <c r="C29" i="8" s="1"/>
  <c r="C31" i="8" s="1"/>
  <c r="C33" i="8" s="1"/>
  <c r="C35" i="8" s="1"/>
  <c r="C37" i="8" s="1"/>
  <c r="C39" i="8" s="1"/>
  <c r="C41" i="8" s="1"/>
  <c r="C43" i="8" s="1"/>
  <c r="S29" i="7" l="1"/>
  <c r="F18" i="8"/>
  <c r="G18" i="9" s="1"/>
  <c r="F17" i="8"/>
  <c r="C45" i="8"/>
  <c r="C47" i="8" s="1"/>
  <c r="B9" i="8"/>
  <c r="B10" i="8" s="1"/>
  <c r="D8" i="8"/>
  <c r="E7" i="8"/>
  <c r="F18" i="9"/>
  <c r="F17" i="9"/>
  <c r="B13" i="9"/>
  <c r="B14" i="9" s="1"/>
  <c r="D12" i="9"/>
  <c r="X69" i="9"/>
  <c r="C24" i="9"/>
  <c r="E9" i="9"/>
  <c r="D11" i="9"/>
  <c r="E11" i="9" s="1"/>
  <c r="T29" i="7" l="1"/>
  <c r="F19" i="8"/>
  <c r="F20" i="8"/>
  <c r="G20" i="9" s="1"/>
  <c r="C49" i="8"/>
  <c r="C51" i="8" s="1"/>
  <c r="C53" i="8" s="1"/>
  <c r="C55" i="8" s="1"/>
  <c r="C57" i="8" s="1"/>
  <c r="C59" i="8" s="1"/>
  <c r="C61" i="8" s="1"/>
  <c r="C63" i="8" s="1"/>
  <c r="C65" i="8" s="1"/>
  <c r="D9" i="8"/>
  <c r="E9" i="8" s="1"/>
  <c r="F19" i="9"/>
  <c r="F20" i="9"/>
  <c r="D73" i="9"/>
  <c r="J79" i="9"/>
  <c r="K80" i="9"/>
  <c r="I78" i="9"/>
  <c r="L81" i="9"/>
  <c r="B71" i="9"/>
  <c r="F75" i="9"/>
  <c r="G76" i="9"/>
  <c r="M82" i="9"/>
  <c r="N83" i="9"/>
  <c r="O84" i="9"/>
  <c r="C72" i="9"/>
  <c r="P85" i="9"/>
  <c r="E74" i="9"/>
  <c r="H77" i="9"/>
  <c r="R87" i="9"/>
  <c r="S88" i="9"/>
  <c r="Q86" i="9"/>
  <c r="V91" i="9"/>
  <c r="U90" i="9"/>
  <c r="T89" i="9"/>
  <c r="D10" i="8"/>
  <c r="B11" i="8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C71" i="9"/>
  <c r="D72" i="9"/>
  <c r="W94" i="9" s="1"/>
  <c r="F74" i="9"/>
  <c r="I77" i="9"/>
  <c r="N82" i="9"/>
  <c r="E73" i="9"/>
  <c r="K79" i="9"/>
  <c r="L80" i="9"/>
  <c r="B70" i="9"/>
  <c r="J78" i="9"/>
  <c r="R86" i="9"/>
  <c r="M81" i="9"/>
  <c r="O83" i="9"/>
  <c r="P84" i="9"/>
  <c r="G75" i="9"/>
  <c r="H76" i="9"/>
  <c r="Q85" i="9"/>
  <c r="S87" i="9"/>
  <c r="T88" i="9"/>
  <c r="V90" i="9"/>
  <c r="W91" i="9"/>
  <c r="U89" i="9"/>
  <c r="D13" i="9"/>
  <c r="E13" i="9" s="1"/>
  <c r="C26" i="9"/>
  <c r="J76" i="7"/>
  <c r="D14" i="9"/>
  <c r="B15" i="9"/>
  <c r="B16" i="9" s="1"/>
  <c r="U29" i="7" l="1"/>
  <c r="F22" i="8"/>
  <c r="G22" i="9" s="1"/>
  <c r="F21" i="8"/>
  <c r="C68" i="8"/>
  <c r="B27" i="8"/>
  <c r="B28" i="8" s="1"/>
  <c r="F22" i="9"/>
  <c r="F21" i="9"/>
  <c r="C28" i="9"/>
  <c r="W95" i="9"/>
  <c r="V94" i="9"/>
  <c r="X70" i="9"/>
  <c r="B17" i="9"/>
  <c r="B18" i="9" s="1"/>
  <c r="D16" i="9"/>
  <c r="C73" i="9"/>
  <c r="H78" i="9"/>
  <c r="K81" i="9"/>
  <c r="E75" i="9"/>
  <c r="F76" i="9"/>
  <c r="B72" i="9"/>
  <c r="X72" i="9" s="1"/>
  <c r="M76" i="7" s="1"/>
  <c r="D74" i="9"/>
  <c r="G77" i="9"/>
  <c r="J80" i="9"/>
  <c r="O85" i="9"/>
  <c r="Q87" i="9"/>
  <c r="R88" i="9"/>
  <c r="P86" i="9"/>
  <c r="I79" i="9"/>
  <c r="L82" i="9"/>
  <c r="M83" i="9"/>
  <c r="N84" i="9"/>
  <c r="S89" i="9"/>
  <c r="U91" i="9"/>
  <c r="T90" i="9"/>
  <c r="D12" i="8"/>
  <c r="D15" i="9"/>
  <c r="E15" i="9" s="1"/>
  <c r="D11" i="8"/>
  <c r="E11" i="8" s="1"/>
  <c r="X71" i="9"/>
  <c r="L76" i="7" s="1"/>
  <c r="K76" i="7" l="1"/>
  <c r="V29" i="7"/>
  <c r="F24" i="8"/>
  <c r="G24" i="9" s="1"/>
  <c r="F23" i="8"/>
  <c r="B29" i="8"/>
  <c r="B30" i="8" s="1"/>
  <c r="F24" i="9"/>
  <c r="F23" i="9"/>
  <c r="C74" i="9"/>
  <c r="D75" i="9"/>
  <c r="E76" i="9"/>
  <c r="F77" i="9"/>
  <c r="K82" i="9"/>
  <c r="H79" i="9"/>
  <c r="I80" i="9"/>
  <c r="J81" i="9"/>
  <c r="P87" i="9"/>
  <c r="Q88" i="9"/>
  <c r="O86" i="9"/>
  <c r="G78" i="9"/>
  <c r="L83" i="9"/>
  <c r="M84" i="9"/>
  <c r="B73" i="9"/>
  <c r="X73" i="9" s="1"/>
  <c r="N76" i="7" s="1"/>
  <c r="N85" i="9"/>
  <c r="R89" i="9"/>
  <c r="S90" i="9"/>
  <c r="T91" i="9"/>
  <c r="D13" i="8"/>
  <c r="E13" i="8" s="1"/>
  <c r="D14" i="8"/>
  <c r="D17" i="9"/>
  <c r="E17" i="9" s="1"/>
  <c r="C30" i="9"/>
  <c r="U94" i="9"/>
  <c r="V95" i="9"/>
  <c r="W96" i="9"/>
  <c r="D18" i="9"/>
  <c r="B19" i="9"/>
  <c r="B20" i="9" s="1"/>
  <c r="F25" i="8" l="1"/>
  <c r="F26" i="8"/>
  <c r="G26" i="9" s="1"/>
  <c r="W29" i="7"/>
  <c r="B31" i="8"/>
  <c r="B32" i="8" s="1"/>
  <c r="F25" i="9"/>
  <c r="F26" i="9"/>
  <c r="F28" i="8"/>
  <c r="G28" i="9" s="1"/>
  <c r="E77" i="9"/>
  <c r="J82" i="9"/>
  <c r="B74" i="9"/>
  <c r="G79" i="9"/>
  <c r="H80" i="9"/>
  <c r="F78" i="9"/>
  <c r="N86" i="9"/>
  <c r="C75" i="9"/>
  <c r="D76" i="9"/>
  <c r="K83" i="9"/>
  <c r="L84" i="9"/>
  <c r="M85" i="9"/>
  <c r="I81" i="9"/>
  <c r="O87" i="9"/>
  <c r="P88" i="9"/>
  <c r="S91" i="9"/>
  <c r="R90" i="9"/>
  <c r="Q89" i="9"/>
  <c r="D15" i="8"/>
  <c r="E15" i="8" s="1"/>
  <c r="D20" i="9"/>
  <c r="B21" i="9"/>
  <c r="B22" i="9" s="1"/>
  <c r="D16" i="8"/>
  <c r="V96" i="9"/>
  <c r="W97" i="9"/>
  <c r="U95" i="9"/>
  <c r="T94" i="9"/>
  <c r="D19" i="9"/>
  <c r="E19" i="9" s="1"/>
  <c r="C32" i="9"/>
  <c r="F27" i="8" l="1"/>
  <c r="X29" i="7"/>
  <c r="J54" i="7"/>
  <c r="B33" i="8"/>
  <c r="B34" i="8" s="1"/>
  <c r="F27" i="9"/>
  <c r="F28" i="9"/>
  <c r="F30" i="8"/>
  <c r="G30" i="9" s="1"/>
  <c r="F29" i="8"/>
  <c r="C34" i="9"/>
  <c r="B23" i="9"/>
  <c r="B24" i="9" s="1"/>
  <c r="D22" i="9"/>
  <c r="F79" i="9"/>
  <c r="G80" i="9"/>
  <c r="E78" i="9"/>
  <c r="H81" i="9"/>
  <c r="B75" i="9"/>
  <c r="X75" i="9" s="1"/>
  <c r="P76" i="7" s="1"/>
  <c r="C76" i="9"/>
  <c r="J83" i="9"/>
  <c r="K84" i="9"/>
  <c r="D77" i="9"/>
  <c r="L85" i="9"/>
  <c r="I82" i="9"/>
  <c r="N87" i="9"/>
  <c r="O88" i="9"/>
  <c r="M86" i="9"/>
  <c r="P89" i="9"/>
  <c r="Q90" i="9"/>
  <c r="R91" i="9"/>
  <c r="D21" i="9"/>
  <c r="E21" i="9" s="1"/>
  <c r="S94" i="9"/>
  <c r="U96" i="9"/>
  <c r="W98" i="9"/>
  <c r="V97" i="9"/>
  <c r="T95" i="9"/>
  <c r="D18" i="8"/>
  <c r="D17" i="8"/>
  <c r="E17" i="8" s="1"/>
  <c r="X74" i="9"/>
  <c r="Y29" i="7" l="1"/>
  <c r="B35" i="8"/>
  <c r="B36" i="8" s="1"/>
  <c r="F29" i="9"/>
  <c r="F30" i="9"/>
  <c r="F31" i="8"/>
  <c r="F32" i="8"/>
  <c r="G32" i="9" s="1"/>
  <c r="D78" i="9"/>
  <c r="G81" i="9"/>
  <c r="B76" i="9"/>
  <c r="C77" i="9"/>
  <c r="K85" i="9"/>
  <c r="H82" i="9"/>
  <c r="M87" i="9"/>
  <c r="N88" i="9"/>
  <c r="E79" i="9"/>
  <c r="L86" i="9"/>
  <c r="F80" i="9"/>
  <c r="I83" i="9"/>
  <c r="J84" i="9"/>
  <c r="P90" i="9"/>
  <c r="Q91" i="9"/>
  <c r="O89" i="9"/>
  <c r="O76" i="7"/>
  <c r="D20" i="8"/>
  <c r="S95" i="9"/>
  <c r="U97" i="9"/>
  <c r="V98" i="9"/>
  <c r="R94" i="9"/>
  <c r="T96" i="9"/>
  <c r="W99" i="9"/>
  <c r="D19" i="8"/>
  <c r="E19" i="8" s="1"/>
  <c r="D23" i="9"/>
  <c r="E23" i="9" s="1"/>
  <c r="C36" i="9"/>
  <c r="D24" i="9"/>
  <c r="B25" i="9"/>
  <c r="B26" i="9" s="1"/>
  <c r="Z29" i="7" l="1"/>
  <c r="B37" i="8"/>
  <c r="B38" i="8" s="1"/>
  <c r="F31" i="9"/>
  <c r="F32" i="9"/>
  <c r="F33" i="8"/>
  <c r="F34" i="8"/>
  <c r="G34" i="9" s="1"/>
  <c r="C38" i="9"/>
  <c r="D22" i="8"/>
  <c r="D26" i="9"/>
  <c r="B27" i="9"/>
  <c r="B28" i="9" s="1"/>
  <c r="K54" i="7"/>
  <c r="X76" i="9"/>
  <c r="D25" i="9"/>
  <c r="E25" i="9" s="1"/>
  <c r="B77" i="9"/>
  <c r="X77" i="9" s="1"/>
  <c r="R76" i="7" s="1"/>
  <c r="G82" i="9"/>
  <c r="D79" i="9"/>
  <c r="E80" i="9"/>
  <c r="L87" i="9"/>
  <c r="M88" i="9"/>
  <c r="C78" i="9"/>
  <c r="K86" i="9"/>
  <c r="F81" i="9"/>
  <c r="H83" i="9"/>
  <c r="I84" i="9"/>
  <c r="J85" i="9"/>
  <c r="N89" i="9"/>
  <c r="P91" i="9"/>
  <c r="O90" i="9"/>
  <c r="D21" i="8"/>
  <c r="E21" i="8" s="1"/>
  <c r="Q94" i="9"/>
  <c r="T97" i="9"/>
  <c r="W100" i="9"/>
  <c r="V99" i="9"/>
  <c r="S96" i="9"/>
  <c r="R95" i="9"/>
  <c r="U98" i="9"/>
  <c r="AA27" i="7" l="1"/>
  <c r="AA29" i="7" s="1"/>
  <c r="AO45" i="7"/>
  <c r="B39" i="8"/>
  <c r="B40" i="8" s="1"/>
  <c r="B41" i="8" s="1"/>
  <c r="B42" i="8" s="1"/>
  <c r="L54" i="7"/>
  <c r="F34" i="9"/>
  <c r="F33" i="9"/>
  <c r="F35" i="8"/>
  <c r="F36" i="8"/>
  <c r="G36" i="9" s="1"/>
  <c r="F82" i="9"/>
  <c r="C79" i="9"/>
  <c r="D80" i="9"/>
  <c r="B78" i="9"/>
  <c r="X78" i="9" s="1"/>
  <c r="S76" i="7" s="1"/>
  <c r="J86" i="9"/>
  <c r="E81" i="9"/>
  <c r="G83" i="9"/>
  <c r="H84" i="9"/>
  <c r="I85" i="9"/>
  <c r="K87" i="9"/>
  <c r="L88" i="9"/>
  <c r="M89" i="9"/>
  <c r="O91" i="9"/>
  <c r="N90" i="9"/>
  <c r="V100" i="9"/>
  <c r="U99" i="9"/>
  <c r="Q95" i="9"/>
  <c r="P94" i="9"/>
  <c r="W101" i="9"/>
  <c r="S97" i="9"/>
  <c r="R96" i="9"/>
  <c r="T98" i="9"/>
  <c r="B29" i="9"/>
  <c r="B30" i="9" s="1"/>
  <c r="D28" i="9"/>
  <c r="D24" i="8"/>
  <c r="C40" i="9"/>
  <c r="D27" i="9"/>
  <c r="E27" i="9" s="1"/>
  <c r="D23" i="8"/>
  <c r="E23" i="8" s="1"/>
  <c r="Q76" i="7"/>
  <c r="AB29" i="7" l="1"/>
  <c r="F36" i="9"/>
  <c r="F35" i="9"/>
  <c r="F38" i="8"/>
  <c r="G38" i="9" s="1"/>
  <c r="F37" i="8"/>
  <c r="B79" i="9"/>
  <c r="X79" i="9" s="1"/>
  <c r="T76" i="7" s="1"/>
  <c r="C80" i="9"/>
  <c r="D81" i="9"/>
  <c r="E82" i="9"/>
  <c r="F83" i="9"/>
  <c r="G84" i="9"/>
  <c r="H85" i="9"/>
  <c r="J87" i="9"/>
  <c r="K88" i="9"/>
  <c r="I86" i="9"/>
  <c r="M90" i="9"/>
  <c r="L89" i="9"/>
  <c r="N91" i="9"/>
  <c r="D25" i="8"/>
  <c r="E25" i="8" s="1"/>
  <c r="R97" i="9"/>
  <c r="O94" i="9"/>
  <c r="W102" i="9"/>
  <c r="S98" i="9"/>
  <c r="V101" i="9"/>
  <c r="Q96" i="9"/>
  <c r="U100" i="9"/>
  <c r="P95" i="9"/>
  <c r="T99" i="9"/>
  <c r="C42" i="9"/>
  <c r="D29" i="9"/>
  <c r="E29" i="9" s="1"/>
  <c r="D30" i="9"/>
  <c r="B31" i="9"/>
  <c r="B32" i="9" s="1"/>
  <c r="N54" i="7"/>
  <c r="B43" i="8"/>
  <c r="B44" i="8" s="1"/>
  <c r="D26" i="8"/>
  <c r="AC29" i="7" l="1"/>
  <c r="D44" i="8"/>
  <c r="D45" i="8" s="1"/>
  <c r="E45" i="8" s="1"/>
  <c r="B45" i="8"/>
  <c r="C9" i="15"/>
  <c r="M54" i="7"/>
  <c r="O54" i="7"/>
  <c r="F37" i="9"/>
  <c r="F38" i="9"/>
  <c r="F39" i="8"/>
  <c r="F40" i="8"/>
  <c r="G40" i="9" s="1"/>
  <c r="C81" i="9"/>
  <c r="G85" i="9"/>
  <c r="I87" i="9"/>
  <c r="J88" i="9"/>
  <c r="B80" i="9"/>
  <c r="X80" i="9" s="1"/>
  <c r="U76" i="7" s="1"/>
  <c r="H86" i="9"/>
  <c r="D82" i="9"/>
  <c r="E83" i="9"/>
  <c r="F84" i="9"/>
  <c r="K89" i="9"/>
  <c r="M91" i="9"/>
  <c r="L90" i="9"/>
  <c r="D31" i="9"/>
  <c r="E31" i="9" s="1"/>
  <c r="V102" i="9"/>
  <c r="S99" i="9"/>
  <c r="U101" i="9"/>
  <c r="T100" i="9"/>
  <c r="Q97" i="9"/>
  <c r="R98" i="9"/>
  <c r="O95" i="9"/>
  <c r="P96" i="9"/>
  <c r="N94" i="9"/>
  <c r="W103" i="9"/>
  <c r="D28" i="8"/>
  <c r="D27" i="8"/>
  <c r="E27" i="8" s="1"/>
  <c r="C44" i="9"/>
  <c r="D32" i="9"/>
  <c r="B33" i="9"/>
  <c r="B34" i="9" s="1"/>
  <c r="AD29" i="7" l="1"/>
  <c r="B46" i="8"/>
  <c r="D46" i="8" s="1"/>
  <c r="D47" i="8" s="1"/>
  <c r="E47" i="8" s="1"/>
  <c r="F39" i="9"/>
  <c r="F40" i="9"/>
  <c r="F42" i="8"/>
  <c r="G42" i="9" s="1"/>
  <c r="F41" i="8"/>
  <c r="C82" i="9"/>
  <c r="B81" i="9"/>
  <c r="X81" i="9" s="1"/>
  <c r="V76" i="7" s="1"/>
  <c r="H87" i="9"/>
  <c r="I88" i="9"/>
  <c r="G86" i="9"/>
  <c r="D83" i="9"/>
  <c r="E84" i="9"/>
  <c r="F85" i="9"/>
  <c r="K90" i="9"/>
  <c r="J89" i="9"/>
  <c r="L91" i="9"/>
  <c r="P54" i="7"/>
  <c r="D34" i="9"/>
  <c r="B35" i="9"/>
  <c r="B36" i="9" s="1"/>
  <c r="D29" i="8"/>
  <c r="E29" i="8" s="1"/>
  <c r="Q98" i="9"/>
  <c r="N95" i="9"/>
  <c r="O96" i="9"/>
  <c r="R99" i="9"/>
  <c r="U102" i="9"/>
  <c r="S100" i="9"/>
  <c r="T101" i="9"/>
  <c r="V103" i="9"/>
  <c r="P97" i="9"/>
  <c r="W104" i="9"/>
  <c r="M94" i="9"/>
  <c r="D33" i="9"/>
  <c r="E33" i="9" s="1"/>
  <c r="C46" i="9"/>
  <c r="D30" i="8"/>
  <c r="AE29" i="7" l="1"/>
  <c r="B47" i="8"/>
  <c r="B48" i="8" s="1"/>
  <c r="F41" i="9"/>
  <c r="F42" i="9"/>
  <c r="F43" i="8"/>
  <c r="F44" i="8"/>
  <c r="G44" i="9" s="1"/>
  <c r="Q54" i="7"/>
  <c r="D32" i="8"/>
  <c r="B82" i="9"/>
  <c r="X82" i="9" s="1"/>
  <c r="W76" i="7" s="1"/>
  <c r="F86" i="9"/>
  <c r="C83" i="9"/>
  <c r="D84" i="9"/>
  <c r="E85" i="9"/>
  <c r="G87" i="9"/>
  <c r="H88" i="9"/>
  <c r="K91" i="9"/>
  <c r="I89" i="9"/>
  <c r="J90" i="9"/>
  <c r="D35" i="9"/>
  <c r="E35" i="9" s="1"/>
  <c r="D31" i="8"/>
  <c r="E31" i="8" s="1"/>
  <c r="C48" i="9"/>
  <c r="B37" i="9"/>
  <c r="B38" i="9" s="1"/>
  <c r="D36" i="9"/>
  <c r="Q99" i="9"/>
  <c r="P98" i="9"/>
  <c r="O97" i="9"/>
  <c r="M95" i="9"/>
  <c r="T102" i="9"/>
  <c r="V104" i="9"/>
  <c r="U103" i="9"/>
  <c r="L94" i="9"/>
  <c r="N96" i="9"/>
  <c r="R100" i="9"/>
  <c r="W105" i="9"/>
  <c r="S101" i="9"/>
  <c r="AF29" i="7" l="1"/>
  <c r="B49" i="8"/>
  <c r="B50" i="8" s="1"/>
  <c r="D48" i="8"/>
  <c r="D49" i="8" s="1"/>
  <c r="E49" i="8" s="1"/>
  <c r="G46" i="9"/>
  <c r="G48" i="9" s="1"/>
  <c r="G50" i="9" s="1"/>
  <c r="G52" i="9" s="1"/>
  <c r="G54" i="9" s="1"/>
  <c r="G56" i="9" s="1"/>
  <c r="G58" i="9" s="1"/>
  <c r="G60" i="9" s="1"/>
  <c r="G62" i="9" s="1"/>
  <c r="G64" i="9" s="1"/>
  <c r="F44" i="9"/>
  <c r="F43" i="9"/>
  <c r="F46" i="8"/>
  <c r="F45" i="8"/>
  <c r="B83" i="9"/>
  <c r="X83" i="9" s="1"/>
  <c r="X76" i="7" s="1"/>
  <c r="C84" i="9"/>
  <c r="D85" i="9"/>
  <c r="F87" i="9"/>
  <c r="G88" i="9"/>
  <c r="E86" i="9"/>
  <c r="H89" i="9"/>
  <c r="J91" i="9"/>
  <c r="I90" i="9"/>
  <c r="R54" i="7"/>
  <c r="D37" i="9"/>
  <c r="E37" i="9" s="1"/>
  <c r="C50" i="9"/>
  <c r="M96" i="9"/>
  <c r="N97" i="9"/>
  <c r="P99" i="9"/>
  <c r="Q100" i="9"/>
  <c r="U104" i="9"/>
  <c r="O98" i="9"/>
  <c r="T103" i="9"/>
  <c r="K94" i="9"/>
  <c r="R101" i="9"/>
  <c r="L95" i="9"/>
  <c r="V105" i="9"/>
  <c r="W106" i="9"/>
  <c r="S102" i="9"/>
  <c r="D34" i="8"/>
  <c r="B39" i="9"/>
  <c r="B40" i="9" s="1"/>
  <c r="D38" i="9"/>
  <c r="D33" i="8"/>
  <c r="E33" i="8" s="1"/>
  <c r="AG29" i="7" l="1"/>
  <c r="F47" i="8"/>
  <c r="F48" i="8"/>
  <c r="D50" i="8"/>
  <c r="D51" i="8" s="1"/>
  <c r="E51" i="8" s="1"/>
  <c r="B51" i="8"/>
  <c r="B52" i="8" s="1"/>
  <c r="F46" i="9"/>
  <c r="F45" i="9"/>
  <c r="C85" i="9"/>
  <c r="E87" i="9"/>
  <c r="F88" i="9"/>
  <c r="D86" i="9"/>
  <c r="B84" i="9"/>
  <c r="X84" i="9" s="1"/>
  <c r="Y76" i="7" s="1"/>
  <c r="I91" i="9"/>
  <c r="G89" i="9"/>
  <c r="H90" i="9"/>
  <c r="D40" i="9"/>
  <c r="B41" i="9"/>
  <c r="B42" i="9" s="1"/>
  <c r="D36" i="8"/>
  <c r="D35" i="8"/>
  <c r="E35" i="8" s="1"/>
  <c r="S54" i="7"/>
  <c r="D39" i="9"/>
  <c r="E39" i="9" s="1"/>
  <c r="C52" i="9"/>
  <c r="U105" i="9"/>
  <c r="N98" i="9"/>
  <c r="S103" i="9"/>
  <c r="Q101" i="9"/>
  <c r="M97" i="9"/>
  <c r="P100" i="9"/>
  <c r="W107" i="9"/>
  <c r="R102" i="9"/>
  <c r="T104" i="9"/>
  <c r="V106" i="9"/>
  <c r="L96" i="9"/>
  <c r="K95" i="9"/>
  <c r="O99" i="9"/>
  <c r="J94" i="9"/>
  <c r="AH29" i="7" l="1"/>
  <c r="F49" i="8"/>
  <c r="F50" i="8"/>
  <c r="D52" i="8"/>
  <c r="D53" i="8" s="1"/>
  <c r="E53" i="8" s="1"/>
  <c r="B53" i="8"/>
  <c r="B54" i="8" s="1"/>
  <c r="F47" i="9"/>
  <c r="F48" i="9"/>
  <c r="C54" i="9"/>
  <c r="D37" i="8"/>
  <c r="E37" i="8" s="1"/>
  <c r="D42" i="9"/>
  <c r="B43" i="9"/>
  <c r="B44" i="9" s="1"/>
  <c r="D87" i="9"/>
  <c r="E88" i="9"/>
  <c r="C86" i="9"/>
  <c r="B85" i="9"/>
  <c r="X85" i="9" s="1"/>
  <c r="Z76" i="7" s="1"/>
  <c r="H91" i="9"/>
  <c r="F89" i="9"/>
  <c r="G90" i="9"/>
  <c r="D38" i="8"/>
  <c r="D41" i="9"/>
  <c r="E41" i="9" s="1"/>
  <c r="T54" i="7"/>
  <c r="K96" i="9"/>
  <c r="U106" i="9"/>
  <c r="W108" i="9"/>
  <c r="J95" i="9"/>
  <c r="R103" i="9"/>
  <c r="M98" i="9"/>
  <c r="I94" i="9"/>
  <c r="O100" i="9"/>
  <c r="L97" i="9"/>
  <c r="V107" i="9"/>
  <c r="N99" i="9"/>
  <c r="Q102" i="9"/>
  <c r="P101" i="9"/>
  <c r="S104" i="9"/>
  <c r="T105" i="9"/>
  <c r="AI29" i="7" l="1"/>
  <c r="F51" i="8"/>
  <c r="F52" i="8"/>
  <c r="D54" i="8"/>
  <c r="D55" i="8" s="1"/>
  <c r="E55" i="8" s="1"/>
  <c r="B55" i="8"/>
  <c r="B56" i="8" s="1"/>
  <c r="F50" i="9"/>
  <c r="F49" i="9"/>
  <c r="B86" i="9"/>
  <c r="X86" i="9" s="1"/>
  <c r="AA76" i="7" s="1"/>
  <c r="C87" i="9"/>
  <c r="D88" i="9"/>
  <c r="F90" i="9"/>
  <c r="E89" i="9"/>
  <c r="G91" i="9"/>
  <c r="D39" i="8"/>
  <c r="E39" i="8" s="1"/>
  <c r="Q103" i="9"/>
  <c r="O101" i="9"/>
  <c r="N100" i="9"/>
  <c r="V108" i="9"/>
  <c r="S105" i="9"/>
  <c r="J96" i="9"/>
  <c r="I95" i="9"/>
  <c r="P102" i="9"/>
  <c r="K97" i="9"/>
  <c r="L98" i="9"/>
  <c r="M99" i="9"/>
  <c r="W109" i="9"/>
  <c r="H94" i="9"/>
  <c r="R104" i="9"/>
  <c r="T106" i="9"/>
  <c r="U107" i="9"/>
  <c r="D43" i="9"/>
  <c r="E43" i="9" s="1"/>
  <c r="C56" i="9"/>
  <c r="U54" i="7"/>
  <c r="D40" i="8"/>
  <c r="D44" i="9"/>
  <c r="B45" i="9"/>
  <c r="B46" i="9" s="1"/>
  <c r="AJ29" i="7" l="1"/>
  <c r="F53" i="8"/>
  <c r="F54" i="8"/>
  <c r="B57" i="8"/>
  <c r="B58" i="8" s="1"/>
  <c r="D56" i="8"/>
  <c r="D57" i="8" s="1"/>
  <c r="E57" i="8" s="1"/>
  <c r="F51" i="9"/>
  <c r="F52" i="9"/>
  <c r="B87" i="9"/>
  <c r="C88" i="9"/>
  <c r="E90" i="9"/>
  <c r="D89" i="9"/>
  <c r="F91" i="9"/>
  <c r="B47" i="9"/>
  <c r="B48" i="9" s="1"/>
  <c r="D46" i="9"/>
  <c r="D45" i="9"/>
  <c r="E45" i="9" s="1"/>
  <c r="O102" i="9"/>
  <c r="Q104" i="9"/>
  <c r="R105" i="9"/>
  <c r="U108" i="9"/>
  <c r="W110" i="9"/>
  <c r="N101" i="9"/>
  <c r="J97" i="9"/>
  <c r="M100" i="9"/>
  <c r="T107" i="9"/>
  <c r="K98" i="9"/>
  <c r="S106" i="9"/>
  <c r="H95" i="9"/>
  <c r="I96" i="9"/>
  <c r="P103" i="9"/>
  <c r="G94" i="9"/>
  <c r="V109" i="9"/>
  <c r="L99" i="9"/>
  <c r="D42" i="8"/>
  <c r="C58" i="9"/>
  <c r="D41" i="8"/>
  <c r="E41" i="8" s="1"/>
  <c r="V54" i="7"/>
  <c r="X87" i="9" l="1"/>
  <c r="AB76" i="7" s="1"/>
  <c r="AK29" i="7"/>
  <c r="F55" i="8"/>
  <c r="F56" i="8"/>
  <c r="D58" i="8"/>
  <c r="D59" i="8" s="1"/>
  <c r="E59" i="8" s="1"/>
  <c r="B59" i="8"/>
  <c r="B60" i="8" s="1"/>
  <c r="F53" i="9"/>
  <c r="F54" i="9"/>
  <c r="B88" i="9"/>
  <c r="C89" i="9"/>
  <c r="X89" i="9" s="1"/>
  <c r="AN76" i="7" s="1"/>
  <c r="D90" i="9"/>
  <c r="E91" i="9"/>
  <c r="X91" i="9" s="1"/>
  <c r="H45" i="9"/>
  <c r="C60" i="9"/>
  <c r="G95" i="9"/>
  <c r="U109" i="9"/>
  <c r="J98" i="9"/>
  <c r="R106" i="9"/>
  <c r="K99" i="9"/>
  <c r="F94" i="9"/>
  <c r="W111" i="9"/>
  <c r="H96" i="9"/>
  <c r="Q105" i="9"/>
  <c r="I97" i="9"/>
  <c r="L100" i="9"/>
  <c r="M101" i="9"/>
  <c r="T108" i="9"/>
  <c r="N102" i="9"/>
  <c r="S107" i="9"/>
  <c r="V110" i="9"/>
  <c r="O103" i="9"/>
  <c r="P104" i="9"/>
  <c r="D47" i="9"/>
  <c r="E47" i="9" s="1"/>
  <c r="D43" i="8"/>
  <c r="E43" i="8" s="1"/>
  <c r="D48" i="9"/>
  <c r="B49" i="9"/>
  <c r="B50" i="9" s="1"/>
  <c r="W54" i="7"/>
  <c r="AL29" i="7" l="1"/>
  <c r="AM76" i="7"/>
  <c r="AK76" i="7"/>
  <c r="AI76" i="7"/>
  <c r="AG76" i="7"/>
  <c r="AE76" i="7"/>
  <c r="AL76" i="7"/>
  <c r="AJ76" i="7"/>
  <c r="AH76" i="7"/>
  <c r="AF76" i="7"/>
  <c r="F57" i="8"/>
  <c r="F58" i="8"/>
  <c r="D60" i="8"/>
  <c r="D61" i="8" s="1"/>
  <c r="E61" i="8" s="1"/>
  <c r="B61" i="8"/>
  <c r="B62" i="8" s="1"/>
  <c r="J70" i="7"/>
  <c r="AO70" i="7" s="1"/>
  <c r="AD76" i="7"/>
  <c r="F56" i="9"/>
  <c r="F55" i="9"/>
  <c r="X54" i="7"/>
  <c r="C62" i="9"/>
  <c r="E94" i="9"/>
  <c r="X94" i="9" s="1"/>
  <c r="Q106" i="9"/>
  <c r="X106" i="9" s="1"/>
  <c r="M102" i="9"/>
  <c r="X102" i="9" s="1"/>
  <c r="L101" i="9"/>
  <c r="X101" i="9" s="1"/>
  <c r="J99" i="9"/>
  <c r="X99" i="9" s="1"/>
  <c r="N103" i="9"/>
  <c r="X103" i="9" s="1"/>
  <c r="K100" i="9"/>
  <c r="X100" i="9" s="1"/>
  <c r="T109" i="9"/>
  <c r="X109" i="9" s="1"/>
  <c r="I98" i="9"/>
  <c r="X98" i="9" s="1"/>
  <c r="R107" i="9"/>
  <c r="X107" i="9" s="1"/>
  <c r="W112" i="9"/>
  <c r="X112" i="9" s="1"/>
  <c r="O104" i="9"/>
  <c r="X104" i="9" s="1"/>
  <c r="H97" i="9"/>
  <c r="X97" i="9" s="1"/>
  <c r="X90" i="9"/>
  <c r="U110" i="9"/>
  <c r="X110" i="9" s="1"/>
  <c r="S108" i="9"/>
  <c r="X108" i="9" s="1"/>
  <c r="P105" i="9"/>
  <c r="X105" i="9" s="1"/>
  <c r="V111" i="9"/>
  <c r="X111" i="9" s="1"/>
  <c r="G96" i="9"/>
  <c r="X96" i="9" s="1"/>
  <c r="F95" i="9"/>
  <c r="X95" i="9" s="1"/>
  <c r="D49" i="9"/>
  <c r="E49" i="9" s="1"/>
  <c r="D50" i="9"/>
  <c r="B51" i="9"/>
  <c r="B52" i="9" s="1"/>
  <c r="X88" i="9"/>
  <c r="AC76" i="7" s="1"/>
  <c r="A112" i="9"/>
  <c r="X92" i="9" l="1"/>
  <c r="X93" i="9" s="1"/>
  <c r="AM29" i="7"/>
  <c r="AO76" i="7"/>
  <c r="AI69" i="7"/>
  <c r="AL69" i="7"/>
  <c r="AH69" i="7"/>
  <c r="AK69" i="7"/>
  <c r="AG69" i="7"/>
  <c r="AJ69" i="7"/>
  <c r="AF69" i="7"/>
  <c r="AE69" i="7"/>
  <c r="K69" i="7"/>
  <c r="F59" i="8"/>
  <c r="F60" i="8"/>
  <c r="AD69" i="7"/>
  <c r="B63" i="8"/>
  <c r="B64" i="8" s="1"/>
  <c r="B65" i="8" s="1"/>
  <c r="B66" i="8" s="1"/>
  <c r="D62" i="8"/>
  <c r="D63" i="8" s="1"/>
  <c r="E63" i="8" s="1"/>
  <c r="AM69" i="7" s="1"/>
  <c r="AC69" i="7"/>
  <c r="Y69" i="7"/>
  <c r="U69" i="7"/>
  <c r="Q69" i="7"/>
  <c r="M69" i="7"/>
  <c r="AB69" i="7"/>
  <c r="X69" i="7"/>
  <c r="T69" i="7"/>
  <c r="P69" i="7"/>
  <c r="L69" i="7"/>
  <c r="R69" i="7"/>
  <c r="AA69" i="7"/>
  <c r="W69" i="7"/>
  <c r="S69" i="7"/>
  <c r="O69" i="7"/>
  <c r="Z69" i="7"/>
  <c r="V69" i="7"/>
  <c r="N69" i="7"/>
  <c r="J69" i="7"/>
  <c r="E9" i="15"/>
  <c r="F57" i="9"/>
  <c r="F58" i="9"/>
  <c r="D51" i="9"/>
  <c r="E51" i="9" s="1"/>
  <c r="C64" i="9"/>
  <c r="Y54" i="7"/>
  <c r="B53" i="9"/>
  <c r="B54" i="9" s="1"/>
  <c r="D52" i="9"/>
  <c r="AN29" i="7" l="1"/>
  <c r="M78" i="7"/>
  <c r="M80" i="7" s="1"/>
  <c r="M87" i="7" s="1"/>
  <c r="K78" i="7"/>
  <c r="K80" i="7" s="1"/>
  <c r="K87" i="7" s="1"/>
  <c r="AA78" i="7"/>
  <c r="AK78" i="7"/>
  <c r="Y78" i="7"/>
  <c r="N78" i="7"/>
  <c r="N80" i="7" s="1"/>
  <c r="N87" i="7" s="1"/>
  <c r="Q78" i="7"/>
  <c r="Q80" i="7" s="1"/>
  <c r="W78" i="7"/>
  <c r="W80" i="7" s="1"/>
  <c r="T78" i="7"/>
  <c r="T80" i="7" s="1"/>
  <c r="AF78" i="7"/>
  <c r="L78" i="7"/>
  <c r="L80" i="7" s="1"/>
  <c r="L87" i="7" s="1"/>
  <c r="AB78" i="7"/>
  <c r="AJ78" i="7"/>
  <c r="R78" i="7"/>
  <c r="R80" i="7" s="1"/>
  <c r="X78" i="7"/>
  <c r="X80" i="7" s="1"/>
  <c r="AC78" i="7"/>
  <c r="J78" i="7"/>
  <c r="J80" i="7" s="1"/>
  <c r="J87" i="7" s="1"/>
  <c r="AH78" i="7"/>
  <c r="AI78" i="7"/>
  <c r="V78" i="7"/>
  <c r="V80" i="7" s="1"/>
  <c r="O78" i="7"/>
  <c r="AD78" i="7"/>
  <c r="AG78" i="7"/>
  <c r="U78" i="7"/>
  <c r="U80" i="7" s="1"/>
  <c r="Z78" i="7"/>
  <c r="S78" i="7"/>
  <c r="S80" i="7" s="1"/>
  <c r="P78" i="7"/>
  <c r="P80" i="7" s="1"/>
  <c r="AE78" i="7"/>
  <c r="Y80" i="7"/>
  <c r="F61" i="8"/>
  <c r="F62" i="8"/>
  <c r="D64" i="8"/>
  <c r="D65" i="8" s="1"/>
  <c r="E65" i="8" s="1"/>
  <c r="AN69" i="7" s="1"/>
  <c r="AN78" i="7" s="1"/>
  <c r="F59" i="9"/>
  <c r="F60" i="9"/>
  <c r="AA54" i="7"/>
  <c r="D53" i="9"/>
  <c r="E53" i="9" s="1"/>
  <c r="B55" i="9"/>
  <c r="B56" i="9" s="1"/>
  <c r="D54" i="9"/>
  <c r="C66" i="9"/>
  <c r="Y83" i="7" l="1"/>
  <c r="Y87" i="7"/>
  <c r="O80" i="7"/>
  <c r="J88" i="7"/>
  <c r="J83" i="7"/>
  <c r="J84" i="7" s="1"/>
  <c r="T83" i="7"/>
  <c r="T87" i="7"/>
  <c r="M83" i="7"/>
  <c r="V83" i="7"/>
  <c r="V87" i="7"/>
  <c r="P83" i="7"/>
  <c r="P87" i="7"/>
  <c r="X83" i="7"/>
  <c r="X87" i="7"/>
  <c r="L83" i="7"/>
  <c r="Q83" i="7"/>
  <c r="Q87" i="7"/>
  <c r="U83" i="7"/>
  <c r="U87" i="7"/>
  <c r="W83" i="7"/>
  <c r="W87" i="7"/>
  <c r="S83" i="7"/>
  <c r="S87" i="7"/>
  <c r="R83" i="7"/>
  <c r="R87" i="7"/>
  <c r="N83" i="7"/>
  <c r="K83" i="7"/>
  <c r="AO69" i="7"/>
  <c r="AO78" i="7" s="1"/>
  <c r="AA80" i="7"/>
  <c r="AL78" i="7"/>
  <c r="AM78" i="7"/>
  <c r="F63" i="8"/>
  <c r="F64" i="8"/>
  <c r="B67" i="8"/>
  <c r="D66" i="8"/>
  <c r="D67" i="8" s="1"/>
  <c r="AC54" i="7"/>
  <c r="AC80" i="7" s="1"/>
  <c r="AC83" i="7" s="1"/>
  <c r="F62" i="9"/>
  <c r="F61" i="9"/>
  <c r="D55" i="9"/>
  <c r="E55" i="9" s="1"/>
  <c r="D56" i="9"/>
  <c r="B57" i="9"/>
  <c r="B58" i="9" s="1"/>
  <c r="Z54" i="7"/>
  <c r="Z80" i="7" s="1"/>
  <c r="K88" i="7" l="1"/>
  <c r="L88" i="7" s="1"/>
  <c r="M88" i="7" s="1"/>
  <c r="N88" i="7" s="1"/>
  <c r="K84" i="7"/>
  <c r="L84" i="7" s="1"/>
  <c r="M84" i="7" s="1"/>
  <c r="N84" i="7" s="1"/>
  <c r="O87" i="7"/>
  <c r="Z83" i="7"/>
  <c r="Z87" i="7"/>
  <c r="AA83" i="7"/>
  <c r="AA87" i="7"/>
  <c r="O83" i="7"/>
  <c r="AE54" i="7"/>
  <c r="AE80" i="7" s="1"/>
  <c r="AE83" i="7" s="1"/>
  <c r="F65" i="8"/>
  <c r="F66" i="8"/>
  <c r="F67" i="8" s="1"/>
  <c r="E67" i="8"/>
  <c r="D68" i="8"/>
  <c r="F63" i="9"/>
  <c r="F64" i="9"/>
  <c r="F65" i="9" s="1"/>
  <c r="B59" i="9"/>
  <c r="B60" i="9" s="1"/>
  <c r="D58" i="9"/>
  <c r="D57" i="9"/>
  <c r="E57" i="9" s="1"/>
  <c r="O84" i="7" l="1"/>
  <c r="P84" i="7" s="1"/>
  <c r="Q84" i="7" s="1"/>
  <c r="R84" i="7" s="1"/>
  <c r="S84" i="7" s="1"/>
  <c r="T84" i="7" s="1"/>
  <c r="U84" i="7" s="1"/>
  <c r="V84" i="7" s="1"/>
  <c r="W84" i="7" s="1"/>
  <c r="X84" i="7" s="1"/>
  <c r="Y84" i="7" s="1"/>
  <c r="Z84" i="7" s="1"/>
  <c r="AA84" i="7" s="1"/>
  <c r="O88" i="7"/>
  <c r="P88" i="7" s="1"/>
  <c r="Q88" i="7" s="1"/>
  <c r="R88" i="7" s="1"/>
  <c r="S88" i="7" s="1"/>
  <c r="T88" i="7" s="1"/>
  <c r="U88" i="7" s="1"/>
  <c r="V88" i="7" s="1"/>
  <c r="W88" i="7" s="1"/>
  <c r="X88" i="7" s="1"/>
  <c r="Y88" i="7" s="1"/>
  <c r="Z88" i="7" s="1"/>
  <c r="AA88" i="7" s="1"/>
  <c r="AF54" i="7"/>
  <c r="AF80" i="7" s="1"/>
  <c r="AF83" i="7" s="1"/>
  <c r="E68" i="8"/>
  <c r="AB54" i="7"/>
  <c r="AB80" i="7" s="1"/>
  <c r="D59" i="9"/>
  <c r="E59" i="9" s="1"/>
  <c r="D60" i="9"/>
  <c r="B61" i="9"/>
  <c r="B62" i="9" s="1"/>
  <c r="AB83" i="7" l="1"/>
  <c r="AB87" i="7"/>
  <c r="AB88" i="7" s="1"/>
  <c r="AG54" i="7"/>
  <c r="AG80" i="7" s="1"/>
  <c r="AD54" i="7"/>
  <c r="B63" i="9"/>
  <c r="B64" i="9" s="1"/>
  <c r="D62" i="9"/>
  <c r="D61" i="9"/>
  <c r="E61" i="9" s="1"/>
  <c r="AG83" i="7" l="1"/>
  <c r="AH54" i="7"/>
  <c r="AH80" i="7" s="1"/>
  <c r="AH83" i="7" s="1"/>
  <c r="AD80" i="7"/>
  <c r="D63" i="9"/>
  <c r="E63" i="9" s="1"/>
  <c r="B65" i="9"/>
  <c r="D64" i="9"/>
  <c r="AD83" i="7" l="1"/>
  <c r="AI54" i="7"/>
  <c r="AI80" i="7" s="1"/>
  <c r="AI83" i="7" s="1"/>
  <c r="D65" i="9"/>
  <c r="D66" i="9" s="1"/>
  <c r="AJ54" i="7" l="1"/>
  <c r="AJ80" i="7" s="1"/>
  <c r="E65" i="9"/>
  <c r="E66" i="9" s="1"/>
  <c r="AJ83" i="7" l="1"/>
  <c r="AK54" i="7"/>
  <c r="AK80" i="7" s="1"/>
  <c r="AK83" i="7" s="1"/>
  <c r="AO44" i="7" l="1"/>
  <c r="AO54" i="7" s="1"/>
  <c r="AO80" i="7" s="1"/>
  <c r="AL54" i="7"/>
  <c r="AL80" i="7" s="1"/>
  <c r="AL83" i="7" s="1"/>
  <c r="AM54" i="7" l="1"/>
  <c r="AM80" i="7" s="1"/>
  <c r="AM83" i="7" l="1"/>
  <c r="AN54" i="7"/>
  <c r="AN80" i="7" s="1"/>
  <c r="AN83" i="7" s="1"/>
  <c r="AO85" i="7" s="1"/>
  <c r="AB84" i="7" l="1"/>
  <c r="AC87" i="7"/>
  <c r="AC88" i="7" s="1"/>
  <c r="AD87" i="7" l="1"/>
  <c r="AD88" i="7" s="1"/>
  <c r="AC84" i="7" l="1"/>
  <c r="AD84" i="7" l="1"/>
  <c r="AE87" i="7" l="1"/>
  <c r="AE88" i="7" s="1"/>
  <c r="AE84" i="7" l="1"/>
  <c r="AF87" i="7"/>
  <c r="AF88" i="7" s="1"/>
  <c r="AF84" i="7" l="1"/>
  <c r="AG84" i="7" s="1"/>
  <c r="AG87" i="7"/>
  <c r="AG88" i="7" s="1"/>
  <c r="AH87" i="7" l="1"/>
  <c r="AH88" i="7" s="1"/>
  <c r="AI87" i="7" l="1"/>
  <c r="AI88" i="7" s="1"/>
  <c r="AH84" i="7"/>
  <c r="AJ87" i="7" l="1"/>
  <c r="AJ88" i="7" s="1"/>
  <c r="AI84" i="7"/>
  <c r="AJ84" i="7" l="1"/>
  <c r="AK84" i="7" s="1"/>
  <c r="AK87" i="7"/>
  <c r="AK88" i="7" s="1"/>
  <c r="AL87" i="7" l="1"/>
  <c r="AL88" i="7" s="1"/>
  <c r="AL84" i="7"/>
  <c r="AO29" i="7"/>
  <c r="AO83" i="7" s="1"/>
  <c r="AM87" i="7" l="1"/>
  <c r="AM88" i="7" s="1"/>
  <c r="AM84" i="7"/>
  <c r="AN84" i="7" s="1"/>
  <c r="AN87" i="7" l="1"/>
  <c r="AN88" i="7" s="1"/>
  <c r="AO87" i="7"/>
  <c r="AO89" i="7" l="1"/>
</calcChain>
</file>

<file path=xl/comments1.xml><?xml version="1.0" encoding="utf-8"?>
<comments xmlns="http://schemas.openxmlformats.org/spreadsheetml/2006/main">
  <authors>
    <author>Jonathan R. Asher</author>
  </authors>
  <commentList>
    <comment ref="G18" authorId="0" shapeId="0">
      <text>
        <r>
          <rPr>
            <sz val="9"/>
            <color indexed="81"/>
            <rFont val="Tahoma"/>
            <family val="2"/>
          </rPr>
          <t xml:space="preserve">
AWCMA DPU 17-90 18 Jun 2018 2017 MA Rate Case Exhibit 4 6-18-18 Schedule 3, page 1 of 1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 xml:space="preserve">
AWCMA DPU 17-90 18 Jun 2018 2017 MA Rate Case Exhibit 4 6-18-18 Schedule 3, page 1 of 1</t>
        </r>
      </text>
    </comment>
    <comment ref="G24" authorId="0" shapeId="0">
      <text>
        <r>
          <rPr>
            <sz val="9"/>
            <color indexed="81"/>
            <rFont val="Tahoma"/>
            <family val="2"/>
          </rPr>
          <t xml:space="preserve">
Service Area A Operating Revenue Percentage of AWCMA Operating Revenue (calculated)</t>
        </r>
      </text>
    </comment>
    <comment ref="G25" authorId="0" shapeId="0">
      <text>
        <r>
          <rPr>
            <sz val="9"/>
            <color indexed="81"/>
            <rFont val="Tahoma"/>
            <family val="2"/>
          </rPr>
          <t xml:space="preserve">
AWCMA DPU 17-90 18 Jun 2018 2017 MA Rate Case Exhibit 4 6-18-18 Schedule 3, page 1 of 1</t>
        </r>
      </text>
    </comment>
    <comment ref="G26" authorId="0" shapeId="0">
      <text>
        <r>
          <rPr>
            <sz val="9"/>
            <color indexed="81"/>
            <rFont val="Tahoma"/>
            <family val="2"/>
          </rPr>
          <t xml:space="preserve">
AWCMA DPU 17-90 18 Jun 2018 2017 MA Rate Case Exhibit 4 6-18-18 Schedule 3, page 1 of 1</t>
        </r>
      </text>
    </comment>
    <comment ref="AA27" authorId="0" shapeId="0">
      <text>
        <r>
          <rPr>
            <sz val="9"/>
            <color indexed="81"/>
            <rFont val="Tahoma"/>
            <family val="2"/>
          </rPr>
          <t xml:space="preserve">
Service Area A revenue following expiration of WTP lease in 2035, serving as base amount to which specified rate increase percentage is applied.
</t>
        </r>
      </text>
    </comment>
    <comment ref="I28" authorId="0" shapeId="0">
      <text>
        <r>
          <rPr>
            <sz val="9"/>
            <color indexed="81"/>
            <rFont val="Tahoma"/>
            <family val="2"/>
          </rPr>
          <t xml:space="preserve">
AWCMA DPU 17-90 18 Jun 2018 2017 MA Rate Case Exhibit 4 6-18-18 Schedule 3, page 1 of 1</t>
        </r>
      </text>
    </comment>
    <comment ref="I29" authorId="0" shapeId="0">
      <text>
        <r>
          <rPr>
            <sz val="9"/>
            <color indexed="81"/>
            <rFont val="Tahoma"/>
            <family val="2"/>
          </rPr>
          <t xml:space="preserve">
AWCMA DPU 17-90 19 Mar 2018, Exhibit AG-13-14, Attachment A, page 1 of 4</t>
        </r>
      </text>
    </comment>
    <comment ref="H31" authorId="0" shapeId="0">
      <text>
        <r>
          <rPr>
            <sz val="9"/>
            <color indexed="81"/>
            <rFont val="Tahoma"/>
            <family val="2"/>
          </rPr>
          <t xml:space="preserve">
AWCMA DPU 17-90 19 Mar 2018 Exhibit AG-13-14, Attachment A, page 1 of 4 for years 2017-2018
</t>
        </r>
      </text>
    </comment>
    <comment ref="L35" authorId="0" shapeId="0">
      <text>
        <r>
          <rPr>
            <sz val="9"/>
            <color indexed="81"/>
            <rFont val="Tahoma"/>
            <family val="2"/>
          </rPr>
          <t xml:space="preserve">
New rate case assumed for 2021, given 2020 aggregate WRIM percentage approaching 10% cap 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
Woodard &amp; Curran Updated O&amp;M Cost Estimate dtd 6 Nov 2017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
From Acquisition L-T Borrowing</t>
        </r>
      </text>
    </comment>
    <comment ref="J70" authorId="0" shapeId="0">
      <text>
        <r>
          <rPr>
            <sz val="9"/>
            <color indexed="81"/>
            <rFont val="Tahoma"/>
            <family val="2"/>
          </rPr>
          <t xml:space="preserve">
From Acquisition S-T Borrowing</t>
        </r>
      </text>
    </comment>
    <comment ref="J76" authorId="0" shapeId="0">
      <text>
        <r>
          <rPr>
            <sz val="9"/>
            <color indexed="81"/>
            <rFont val="Tahoma"/>
            <family val="2"/>
          </rPr>
          <t xml:space="preserve">
From Annual Capex Borrowing</t>
        </r>
      </text>
    </comment>
  </commentList>
</comments>
</file>

<file path=xl/sharedStrings.xml><?xml version="1.0" encoding="utf-8"?>
<sst xmlns="http://schemas.openxmlformats.org/spreadsheetml/2006/main" count="144" uniqueCount="119">
  <si>
    <t>TOTAL</t>
  </si>
  <si>
    <t xml:space="preserve"> Service Area A Cost of Service other than WTP expenses</t>
  </si>
  <si>
    <t xml:space="preserve">WTP Lease Expense </t>
  </si>
  <si>
    <t xml:space="preserve">   Plus Percentage Rent</t>
  </si>
  <si>
    <t xml:space="preserve">   Less Interest Credit</t>
  </si>
  <si>
    <t xml:space="preserve">       Total WTP Lease Expense</t>
  </si>
  <si>
    <t>Cash Working Capital Allowance/Tax Gross Up</t>
  </si>
  <si>
    <t>Total WTP Lease + Allowance + Taxes</t>
  </si>
  <si>
    <t>Total Service Area A  Revenue Recovery</t>
  </si>
  <si>
    <t>WTP Property Taxes</t>
  </si>
  <si>
    <t>Total Annual Municipal O&amp;M Expenses</t>
  </si>
  <si>
    <t>Total Municipal Ownership Cost</t>
  </si>
  <si>
    <t>Less: Adjustment Factor</t>
  </si>
  <si>
    <t xml:space="preserve">     WTP Expenses After Adjustments</t>
  </si>
  <si>
    <t>Amount</t>
  </si>
  <si>
    <t>Rate</t>
  </si>
  <si>
    <t>Term</t>
  </si>
  <si>
    <t>O/S Bal.</t>
  </si>
  <si>
    <t>Principal</t>
  </si>
  <si>
    <t>Interest</t>
  </si>
  <si>
    <t>P&amp;I / FY</t>
  </si>
  <si>
    <t>Fiscal Year</t>
  </si>
  <si>
    <t>Totals</t>
  </si>
  <si>
    <t>Acquisition Price</t>
  </si>
  <si>
    <t>Annual Capital Reserve Borrowing</t>
  </si>
  <si>
    <t>Article 19 Fund Balance Replenishment</t>
  </si>
  <si>
    <t>Initial Capital Reserve Funding</t>
  </si>
  <si>
    <t>Annual Capital Reserve Replenishment</t>
  </si>
  <si>
    <t>Additional Fund Balance Replenishment</t>
  </si>
  <si>
    <t>Annual Capital Reserve Replenishment Financing</t>
  </si>
  <si>
    <t>Capital Reserve Replenishment Cost Debt Service</t>
  </si>
  <si>
    <t>Add: Additional Municipal Labor (estimate)</t>
  </si>
  <si>
    <t xml:space="preserve">Add: Additional Municipal Services (estimate) </t>
  </si>
  <si>
    <t>Year</t>
  </si>
  <si>
    <t>Year:</t>
  </si>
  <si>
    <t>Aqua. Model 10/15/2012</t>
  </si>
  <si>
    <t>Capital Reserve Funding</t>
  </si>
  <si>
    <t>X</t>
  </si>
  <si>
    <t>Initial funding of capital reserve for accelerated infrastructure improvement</t>
  </si>
  <si>
    <t>Annual capital reserve replenishment borrowing on 20-year notes</t>
  </si>
  <si>
    <t>Acquisition Borrowing Long-Term Interest Rate</t>
  </si>
  <si>
    <t>Acquisition Borrowing Short-Term Interest Rate</t>
  </si>
  <si>
    <t>Acquisition Long-Term Borrowing Term</t>
  </si>
  <si>
    <t>Acquisition Short-Term Borrowing Term</t>
  </si>
  <si>
    <t>Aquarion 2021-Forward Triennial Rate Increase %</t>
  </si>
  <si>
    <t>ATM 2012 Article 19 Fund Balance Replenishment</t>
  </si>
  <si>
    <t xml:space="preserve">Acquisition/Capital Reserve Long-Term Borrowing </t>
  </si>
  <si>
    <t xml:space="preserve">Acquisition/Capital Reserve Short-Term Borrowing </t>
  </si>
  <si>
    <t>Capital Reserve Replenishment Borrowing Long-Term Rate</t>
  </si>
  <si>
    <t>Long-Term Borrowing Interest Rate</t>
  </si>
  <si>
    <t>Short-Term Borrowing Interest Rate</t>
  </si>
  <si>
    <t>Long-Term Borrowing Term (Years)</t>
  </si>
  <si>
    <t>Short-Term Borrowing Term (Years)</t>
  </si>
  <si>
    <t xml:space="preserve"> Acquisition/Capital Reserve Long-Term Debt Service</t>
  </si>
  <si>
    <t xml:space="preserve"> Acquisition/Capital Reserve Short-Term Debt Service</t>
  </si>
  <si>
    <t>Total Acquisition &amp; Annual Capital Debt Service</t>
  </si>
  <si>
    <t>Acquisition Long-Term Debt Issuance Year</t>
  </si>
  <si>
    <t>Add: Outsourcing Services (estimate: Woodard &amp; Curran)</t>
  </si>
  <si>
    <t>Add: Outsourcing Transition Costs (estimate: Woodard &amp; Curran)</t>
  </si>
  <si>
    <t>Add: Other Transaction Costs (estimate)</t>
  </si>
  <si>
    <t>Less: Percentage Rent</t>
  </si>
  <si>
    <t xml:space="preserve"> WTP Expenses before Property Taxes</t>
  </si>
  <si>
    <t>Less: Fixed Basic Rent</t>
  </si>
  <si>
    <t xml:space="preserve">Less: Cash Working Capital Allowance &amp; Tax Gross-up </t>
  </si>
  <si>
    <t>Distribution System Property Taxes &amp; FICA Taxes</t>
  </si>
  <si>
    <t>Assumed Annual Municipal Cost % Increase</t>
  </si>
  <si>
    <t>Acquisition  and System Maintenance Affordability</t>
  </si>
  <si>
    <t>Acquisition/Town Repayment/Capital Reserve Borrowing Parameters</t>
  </si>
  <si>
    <t xml:space="preserve">   Fixed Basic Rent</t>
  </si>
  <si>
    <t xml:space="preserve">   Plus Adjustment Factor (adjusted down by 4,757)</t>
  </si>
  <si>
    <t>Municipal Ownership Costs</t>
  </si>
  <si>
    <t>WTP Expenses before Property Taxes</t>
  </si>
  <si>
    <t>Utilize Short-Term Borrowing Option</t>
  </si>
  <si>
    <t>Utilize S-T Borrowing</t>
  </si>
  <si>
    <t>Water Company Acquisition &amp; Maintenance Affordability Variables</t>
  </si>
  <si>
    <t>Place any non-zero character to activate one-year short-term borrowing for 2019</t>
  </si>
  <si>
    <t>Repayment of tax-payer-funded ATM 2012 Article 19 study</t>
  </si>
  <si>
    <t>Repayment of tax-payer-funded Reserve Fund Transfers and ATM 2014 &amp; 2016 funding to cover expert, legal, and admin expenses</t>
  </si>
  <si>
    <t>Enter 30 for a 30-year term</t>
  </si>
  <si>
    <t>Short-Term Borrowing Option Indicator</t>
  </si>
  <si>
    <t>Note:  A non-blank value indicates short-term borrowing for Year 1</t>
  </si>
  <si>
    <t>Acquisition Year</t>
  </si>
  <si>
    <t>Long-Term Debt Issuance Year</t>
  </si>
  <si>
    <t>2 Nov 2017 Appeals Court-Affirmed 31 Dec 2013 Price</t>
  </si>
  <si>
    <t>Service Area A % of AWCMA</t>
  </si>
  <si>
    <t xml:space="preserve">   Service Area A Pro Forma Proposed Rates-Total Operating Revenues</t>
  </si>
  <si>
    <t xml:space="preserve">   AWCMA Pro Forma Proposed Rates-Total Operating Revenues</t>
  </si>
  <si>
    <t xml:space="preserve">   </t>
  </si>
  <si>
    <t>Service Area A DPU 17-90 Pro Forma Operating Revenues</t>
  </si>
  <si>
    <t>Aquarion Rate Increase % (estimate)</t>
  </si>
  <si>
    <r>
      <t xml:space="preserve">Updated Long-Term Interest Rate required; </t>
    </r>
    <r>
      <rPr>
        <b/>
        <sz val="12"/>
        <color rgb="FF0070C0"/>
        <rFont val="Calibri"/>
        <family val="2"/>
      </rPr>
      <t>3.75% 3/27/18</t>
    </r>
  </si>
  <si>
    <r>
      <t xml:space="preserve">Updated Short-Term Interest Rate required; </t>
    </r>
    <r>
      <rPr>
        <b/>
        <sz val="12"/>
        <color rgb="FF0070C0"/>
        <rFont val="Calibri"/>
        <family val="2"/>
      </rPr>
      <t>2.25% 3/27/18</t>
    </r>
  </si>
  <si>
    <r>
      <t xml:space="preserve">Updated Long-Term Interest Rate required; </t>
    </r>
    <r>
      <rPr>
        <b/>
        <sz val="12"/>
        <color rgb="FF0070C0"/>
        <rFont val="Calibri"/>
        <family val="2"/>
      </rPr>
      <t>3.25% 3/27/18</t>
    </r>
  </si>
  <si>
    <t>Capital Market Advisors rate estimates:  3/27/18</t>
  </si>
  <si>
    <r>
      <t xml:space="preserve">Rolled forward purchase price for property, plant, and equipment purchase price, including water treatment plant, from year-end 2013 value of $88,585,821.                                  </t>
    </r>
    <r>
      <rPr>
        <b/>
        <sz val="12"/>
        <color rgb="FFFF0000"/>
        <rFont val="Calibri"/>
        <family val="2"/>
      </rPr>
      <t>Exact price TBD based on updated Aquarion capital investment figures 2018--&gt;TBD.</t>
    </r>
  </si>
  <si>
    <t>Aquarion Water Company Court Order Calculation Summary as of 12/31/2017</t>
  </si>
  <si>
    <t>Per 6 Apr 2017 Conner--&gt;Ryan email attachment analysis of 4/22/2016 Superior Court Order</t>
  </si>
  <si>
    <t>Average Aquarion Calculation Summary Annual Increase 2014-2017</t>
  </si>
  <si>
    <t>Aquarion Court Order Calculation Summary Rolled Forward to 30 Apr 2019</t>
  </si>
  <si>
    <t>Chk:</t>
  </si>
  <si>
    <t>Total Acquisition/Fund Balance Repayment/Capital Reserve Payment Cost</t>
  </si>
  <si>
    <t>30-Year Total:</t>
  </si>
  <si>
    <t>22-Year Total:</t>
  </si>
  <si>
    <t>Aquarion WRIM Total Revenue Requirement</t>
  </si>
  <si>
    <t>Service Area A Savings/(Extra Cost) with 3-Year Rate Increases - w/o WRIM</t>
  </si>
  <si>
    <t>Total Service Area A Revenue from 3-Year Increases - w/o WRIM</t>
  </si>
  <si>
    <t>Service Area A Savings/(Extra Cost) with 3-Year Rate Increases - with WRIM</t>
  </si>
  <si>
    <t>Aquarion Annual Expense Increase (AEI)</t>
  </si>
  <si>
    <r>
      <t xml:space="preserve">WTP O&amp;M Expense subject to CWC (including </t>
    </r>
    <r>
      <rPr>
        <b/>
        <sz val="11"/>
        <color indexed="8"/>
        <rFont val="Calibri"/>
        <family val="2"/>
      </rPr>
      <t>AEI)</t>
    </r>
  </si>
  <si>
    <r>
      <t xml:space="preserve">WTP Property Taxes (including </t>
    </r>
    <r>
      <rPr>
        <b/>
        <sz val="11"/>
        <color indexed="8"/>
        <rFont val="Calibri"/>
        <family val="2"/>
      </rPr>
      <t>AEI)</t>
    </r>
  </si>
  <si>
    <t>Service Area A Revenue Including Prior Year's WRIM Total Revenue Requirement</t>
  </si>
  <si>
    <t>Cumulative Service Area A Savings/(Extra Cost) with 3-Year Rate Increases - w/o WRIM</t>
  </si>
  <si>
    <t>Cumulative Service Area A Savings/(Extra Cost) with 3-Year Rate Increases - with WRIM</t>
  </si>
  <si>
    <t>Aquarion Total WRIM Surcharge %</t>
  </si>
  <si>
    <t>Aquarion Base Revenue</t>
  </si>
  <si>
    <t>Aquarion Incremental WRIM Surcharge</t>
  </si>
  <si>
    <t>Total AWCMA Operating Revenue Recovery</t>
  </si>
  <si>
    <t xml:space="preserve">   AWCMA DPU 17-90 Pro Forma Proposed Operating Revenues</t>
  </si>
  <si>
    <t>YTY % Change in Total Municipal Ownership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</si>
</sst>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&quot;$&quot;#,##0.00"/>
    <numFmt numFmtId="167" formatCode="0.0%"/>
    <numFmt numFmtId="168" formatCode="#,##0.000000000000000"/>
  </numFmts>
  <fonts count="48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u/>
      <sz val="16"/>
      <color indexed="8"/>
      <name val="Calibri"/>
      <family val="2"/>
    </font>
    <font>
      <u/>
      <sz val="11"/>
      <color indexed="8"/>
      <name val="Calibri"/>
      <family val="2"/>
    </font>
    <font>
      <b/>
      <sz val="12"/>
      <color indexed="8"/>
      <name val="Calibri"/>
      <family val="2"/>
    </font>
    <font>
      <u val="singleAccounting"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u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SWISS"/>
    </font>
    <font>
      <b/>
      <sz val="12"/>
      <name val="SWISS"/>
    </font>
    <font>
      <u/>
      <sz val="12"/>
      <name val="SWISS"/>
    </font>
    <font>
      <sz val="11"/>
      <color indexed="8"/>
      <name val="Calibri"/>
      <family val="2"/>
    </font>
    <font>
      <b/>
      <sz val="12"/>
      <color indexed="10"/>
      <name val="Calibri"/>
      <family val="2"/>
    </font>
    <font>
      <sz val="11"/>
      <color theme="1"/>
      <name val="Calibri"/>
      <family val="2"/>
      <scheme val="minor"/>
    </font>
    <font>
      <b/>
      <u/>
      <sz val="12"/>
      <name val="SWISS"/>
    </font>
    <font>
      <b/>
      <sz val="12"/>
      <color indexed="8"/>
      <name val="Swiss"/>
    </font>
    <font>
      <sz val="12"/>
      <color indexed="8"/>
      <name val="Swiss"/>
    </font>
    <font>
      <sz val="8"/>
      <color indexed="8"/>
      <name val="Calibri"/>
      <family val="2"/>
    </font>
    <font>
      <b/>
      <i/>
      <sz val="11"/>
      <color indexed="8"/>
      <name val="Calibri"/>
      <family val="2"/>
    </font>
    <font>
      <sz val="14"/>
      <color indexed="8"/>
      <name val="Calibri"/>
      <family val="2"/>
    </font>
    <font>
      <sz val="12"/>
      <name val="Calibri"/>
      <family val="2"/>
    </font>
    <font>
      <b/>
      <sz val="11"/>
      <color indexed="8"/>
      <name val="Swiss"/>
    </font>
    <font>
      <sz val="9"/>
      <color indexed="81"/>
      <name val="Tahoma"/>
      <family val="2"/>
    </font>
    <font>
      <b/>
      <sz val="12"/>
      <color rgb="FFFF0000"/>
      <name val="Calibri"/>
      <family val="2"/>
    </font>
    <font>
      <b/>
      <sz val="14"/>
      <name val="Calibri"/>
      <family val="2"/>
    </font>
    <font>
      <b/>
      <sz val="12"/>
      <color rgb="FF0070C0"/>
      <name val="Calibri"/>
      <family val="2"/>
    </font>
    <font>
      <b/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lightGray"/>
    </fill>
    <fill>
      <patternFill patternType="solid">
        <fgColor rgb="FFFFC000"/>
        <bgColor indexed="64"/>
      </patternFill>
    </fill>
    <fill>
      <patternFill patternType="lightHorizontal"/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0" borderId="0"/>
    <xf numFmtId="0" fontId="34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225">
    <xf numFmtId="0" fontId="0" fillId="0" borderId="0" xfId="0"/>
    <xf numFmtId="0" fontId="20" fillId="0" borderId="0" xfId="0" applyFont="1" applyAlignment="1">
      <alignment horizontal="center"/>
    </xf>
    <xf numFmtId="9" fontId="0" fillId="0" borderId="0" xfId="0" applyNumberFormat="1"/>
    <xf numFmtId="0" fontId="17" fillId="0" borderId="0" xfId="0" applyFont="1" applyAlignment="1">
      <alignment wrapText="1"/>
    </xf>
    <xf numFmtId="9" fontId="23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65" fontId="1" fillId="0" borderId="0" xfId="28" applyNumberFormat="1" applyFont="1"/>
    <xf numFmtId="165" fontId="0" fillId="0" borderId="0" xfId="0" applyNumberFormat="1"/>
    <xf numFmtId="0" fontId="0" fillId="0" borderId="0" xfId="0" applyAlignment="1">
      <alignment vertical="center" wrapText="1"/>
    </xf>
    <xf numFmtId="165" fontId="24" fillId="0" borderId="0" xfId="28" applyNumberFormat="1" applyFont="1"/>
    <xf numFmtId="0" fontId="17" fillId="0" borderId="0" xfId="0" applyFont="1"/>
    <xf numFmtId="0" fontId="0" fillId="0" borderId="0" xfId="0" applyAlignment="1">
      <alignment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65" fontId="24" fillId="0" borderId="0" xfId="28" applyNumberFormat="1" applyFont="1" applyBorder="1"/>
    <xf numFmtId="165" fontId="17" fillId="0" borderId="0" xfId="28" applyNumberFormat="1" applyFont="1"/>
    <xf numFmtId="10" fontId="1" fillId="0" borderId="0" xfId="28" applyNumberFormat="1" applyFont="1"/>
    <xf numFmtId="165" fontId="0" fillId="0" borderId="0" xfId="0" applyNumberFormat="1" applyFont="1"/>
    <xf numFmtId="165" fontId="1" fillId="0" borderId="0" xfId="28" applyNumberFormat="1" applyFont="1" applyBorder="1"/>
    <xf numFmtId="9" fontId="17" fillId="0" borderId="0" xfId="0" applyNumberFormat="1" applyFont="1" applyAlignment="1">
      <alignment horizontal="center"/>
    </xf>
    <xf numFmtId="0" fontId="0" fillId="0" borderId="10" xfId="0" applyBorder="1"/>
    <xf numFmtId="165" fontId="17" fillId="0" borderId="0" xfId="0" applyNumberFormat="1" applyFont="1" applyBorder="1"/>
    <xf numFmtId="10" fontId="0" fillId="0" borderId="0" xfId="0" applyNumberFormat="1" applyAlignment="1">
      <alignment horizontal="center"/>
    </xf>
    <xf numFmtId="165" fontId="17" fillId="0" borderId="0" xfId="0" applyNumberFormat="1" applyFont="1"/>
    <xf numFmtId="0" fontId="17" fillId="0" borderId="0" xfId="0" applyFont="1" applyAlignment="1">
      <alignment horizontal="left"/>
    </xf>
    <xf numFmtId="166" fontId="17" fillId="0" borderId="0" xfId="0" applyNumberFormat="1" applyFont="1" applyAlignment="1">
      <alignment horizontal="right"/>
    </xf>
    <xf numFmtId="165" fontId="17" fillId="0" borderId="0" xfId="28" applyNumberFormat="1" applyFont="1" applyBorder="1"/>
    <xf numFmtId="0" fontId="0" fillId="0" borderId="0" xfId="0" applyBorder="1"/>
    <xf numFmtId="165" fontId="1" fillId="0" borderId="10" xfId="0" applyNumberFormat="1" applyFont="1" applyBorder="1"/>
    <xf numFmtId="165" fontId="1" fillId="0" borderId="0" xfId="28" applyNumberFormat="1"/>
    <xf numFmtId="0" fontId="26" fillId="0" borderId="0" xfId="0" applyFont="1" applyAlignment="1">
      <alignment horizontal="center" vertical="center" wrapText="1"/>
    </xf>
    <xf numFmtId="0" fontId="0" fillId="0" borderId="0" xfId="0" applyFont="1"/>
    <xf numFmtId="0" fontId="22" fillId="0" borderId="0" xfId="0" applyFont="1"/>
    <xf numFmtId="0" fontId="28" fillId="0" borderId="0" xfId="0" applyFont="1"/>
    <xf numFmtId="3" fontId="29" fillId="0" borderId="0" xfId="0" applyNumberFormat="1" applyFont="1" applyAlignment="1"/>
    <xf numFmtId="167" fontId="29" fillId="0" borderId="0" xfId="0" applyNumberFormat="1" applyFont="1" applyAlignment="1"/>
    <xf numFmtId="3" fontId="30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center"/>
    </xf>
    <xf numFmtId="10" fontId="29" fillId="0" borderId="0" xfId="0" applyNumberFormat="1" applyFont="1" applyAlignment="1"/>
    <xf numFmtId="3" fontId="29" fillId="0" borderId="11" xfId="0" applyNumberFormat="1" applyFont="1" applyBorder="1" applyAlignment="1"/>
    <xf numFmtId="10" fontId="29" fillId="0" borderId="11" xfId="0" applyNumberFormat="1" applyFont="1" applyBorder="1" applyAlignment="1"/>
    <xf numFmtId="0" fontId="29" fillId="0" borderId="11" xfId="0" applyNumberFormat="1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0" fontId="26" fillId="0" borderId="0" xfId="0" applyFont="1"/>
    <xf numFmtId="0" fontId="23" fillId="0" borderId="12" xfId="0" applyFont="1" applyBorder="1" applyAlignment="1">
      <alignment horizontal="right"/>
    </xf>
    <xf numFmtId="3" fontId="29" fillId="0" borderId="0" xfId="0" quotePrefix="1" applyNumberFormat="1" applyFont="1" applyAlignment="1" applyProtection="1">
      <alignment horizontal="left"/>
    </xf>
    <xf numFmtId="3" fontId="29" fillId="0" borderId="0" xfId="0" applyNumberFormat="1" applyFont="1" applyAlignment="1" applyProtection="1"/>
    <xf numFmtId="167" fontId="29" fillId="0" borderId="0" xfId="0" applyNumberFormat="1" applyFont="1" applyAlignment="1" applyProtection="1"/>
    <xf numFmtId="0" fontId="0" fillId="0" borderId="0" xfId="0" applyProtection="1"/>
    <xf numFmtId="3" fontId="30" fillId="0" borderId="0" xfId="0" applyNumberFormat="1" applyFont="1" applyAlignment="1" applyProtection="1">
      <alignment horizontal="right"/>
    </xf>
    <xf numFmtId="3" fontId="31" fillId="0" borderId="0" xfId="0" applyNumberFormat="1" applyFont="1" applyAlignment="1" applyProtection="1">
      <alignment horizontal="center"/>
    </xf>
    <xf numFmtId="10" fontId="29" fillId="0" borderId="0" xfId="0" applyNumberFormat="1" applyFont="1" applyAlignment="1" applyProtection="1"/>
    <xf numFmtId="3" fontId="29" fillId="0" borderId="0" xfId="0" applyNumberFormat="1" applyFont="1" applyAlignment="1" applyProtection="1">
      <alignment horizontal="right"/>
    </xf>
    <xf numFmtId="3" fontId="29" fillId="0" borderId="0" xfId="0" applyNumberFormat="1" applyFont="1" applyAlignment="1" applyProtection="1">
      <alignment horizontal="center"/>
    </xf>
    <xf numFmtId="3" fontId="29" fillId="0" borderId="11" xfId="0" applyNumberFormat="1" applyFont="1" applyBorder="1" applyAlignment="1" applyProtection="1"/>
    <xf numFmtId="10" fontId="29" fillId="0" borderId="11" xfId="0" applyNumberFormat="1" applyFont="1" applyBorder="1" applyAlignment="1" applyProtection="1"/>
    <xf numFmtId="0" fontId="29" fillId="0" borderId="11" xfId="0" applyNumberFormat="1" applyFont="1" applyBorder="1" applyAlignment="1" applyProtection="1">
      <alignment horizontal="center"/>
    </xf>
    <xf numFmtId="0" fontId="30" fillId="0" borderId="0" xfId="0" applyNumberFormat="1" applyFont="1" applyAlignment="1" applyProtection="1">
      <alignment horizontal="center"/>
    </xf>
    <xf numFmtId="3" fontId="0" fillId="0" borderId="0" xfId="0" applyNumberFormat="1" applyProtection="1"/>
    <xf numFmtId="3" fontId="29" fillId="0" borderId="10" xfId="0" applyNumberFormat="1" applyFont="1" applyBorder="1" applyAlignment="1" applyProtection="1"/>
    <xf numFmtId="0" fontId="30" fillId="0" borderId="1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2" fillId="0" borderId="0" xfId="0" applyFont="1" applyProtection="1"/>
    <xf numFmtId="3" fontId="22" fillId="0" borderId="0" xfId="0" applyNumberFormat="1" applyFont="1" applyProtection="1"/>
    <xf numFmtId="3" fontId="0" fillId="0" borderId="0" xfId="0" applyNumberFormat="1" applyFont="1" applyProtection="1"/>
    <xf numFmtId="0" fontId="0" fillId="0" borderId="0" xfId="0" applyFont="1" applyProtection="1"/>
    <xf numFmtId="3" fontId="30" fillId="0" borderId="0" xfId="0" applyNumberFormat="1" applyFont="1" applyAlignment="1" applyProtection="1">
      <alignment horizontal="center"/>
    </xf>
    <xf numFmtId="0" fontId="23" fillId="0" borderId="12" xfId="0" applyFont="1" applyBorder="1" applyAlignment="1">
      <alignment horizontal="right" vertical="center"/>
    </xf>
    <xf numFmtId="0" fontId="23" fillId="0" borderId="13" xfId="0" applyFont="1" applyBorder="1" applyAlignment="1">
      <alignment horizontal="right" vertical="center"/>
    </xf>
    <xf numFmtId="0" fontId="23" fillId="0" borderId="14" xfId="0" applyFont="1" applyBorder="1" applyAlignment="1">
      <alignment horizontal="right" vertical="center"/>
    </xf>
    <xf numFmtId="164" fontId="26" fillId="0" borderId="0" xfId="0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65" fontId="0" fillId="0" borderId="10" xfId="0" applyNumberFormat="1" applyBorder="1"/>
    <xf numFmtId="3" fontId="0" fillId="0" borderId="0" xfId="0" applyNumberFormat="1"/>
    <xf numFmtId="9" fontId="17" fillId="0" borderId="0" xfId="0" applyNumberFormat="1" applyFont="1" applyAlignment="1">
      <alignment horizontal="center" vertical="center"/>
    </xf>
    <xf numFmtId="37" fontId="1" fillId="0" borderId="0" xfId="28" applyNumberFormat="1" applyFont="1"/>
    <xf numFmtId="3" fontId="30" fillId="0" borderId="0" xfId="0" applyNumberFormat="1" applyFont="1" applyAlignment="1">
      <alignment horizontal="center"/>
    </xf>
    <xf numFmtId="3" fontId="35" fillId="0" borderId="0" xfId="0" applyNumberFormat="1" applyFont="1" applyAlignment="1">
      <alignment horizontal="center"/>
    </xf>
    <xf numFmtId="10" fontId="35" fillId="0" borderId="0" xfId="0" applyNumberFormat="1" applyFont="1" applyAlignment="1">
      <alignment horizontal="center"/>
    </xf>
    <xf numFmtId="3" fontId="35" fillId="0" borderId="0" xfId="0" applyNumberFormat="1" applyFont="1" applyAlignment="1" applyProtection="1">
      <alignment horizontal="center" wrapText="1"/>
    </xf>
    <xf numFmtId="10" fontId="35" fillId="0" borderId="0" xfId="0" applyNumberFormat="1" applyFont="1" applyAlignment="1" applyProtection="1">
      <alignment horizontal="center" wrapText="1"/>
    </xf>
    <xf numFmtId="0" fontId="36" fillId="0" borderId="0" xfId="0" applyFont="1" applyAlignment="1" applyProtection="1">
      <alignment horizontal="center"/>
    </xf>
    <xf numFmtId="0" fontId="37" fillId="0" borderId="0" xfId="0" applyFont="1"/>
    <xf numFmtId="0" fontId="37" fillId="0" borderId="0" xfId="0" applyFont="1" applyProtection="1"/>
    <xf numFmtId="3" fontId="30" fillId="0" borderId="0" xfId="0" applyNumberFormat="1" applyFont="1" applyAlignment="1"/>
    <xf numFmtId="3" fontId="29" fillId="0" borderId="0" xfId="0" applyNumberFormat="1" applyFont="1" applyFill="1" applyAlignment="1" applyProtection="1">
      <alignment horizontal="center"/>
    </xf>
    <xf numFmtId="10" fontId="29" fillId="0" borderId="0" xfId="0" applyNumberFormat="1" applyFont="1" applyFill="1" applyAlignment="1" applyProtection="1">
      <alignment horizontal="center"/>
    </xf>
    <xf numFmtId="0" fontId="17" fillId="0" borderId="0" xfId="0" applyFont="1" applyAlignment="1" applyProtection="1">
      <alignment horizontal="right"/>
    </xf>
    <xf numFmtId="3" fontId="0" fillId="0" borderId="0" xfId="0" applyNumberFormat="1" applyFont="1" applyBorder="1" applyProtection="1"/>
    <xf numFmtId="3" fontId="0" fillId="0" borderId="0" xfId="0" applyNumberFormat="1" applyFont="1" applyAlignment="1" applyProtection="1">
      <alignment horizontal="right"/>
    </xf>
    <xf numFmtId="0" fontId="38" fillId="0" borderId="0" xfId="0" applyFont="1" applyAlignment="1">
      <alignment wrapText="1"/>
    </xf>
    <xf numFmtId="10" fontId="39" fillId="0" borderId="0" xfId="28" applyNumberFormat="1" applyFont="1"/>
    <xf numFmtId="0" fontId="26" fillId="0" borderId="0" xfId="0" applyFont="1" applyAlignment="1">
      <alignment horizontal="center"/>
    </xf>
    <xf numFmtId="3" fontId="3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" fontId="29" fillId="0" borderId="11" xfId="0" applyNumberFormat="1" applyFont="1" applyBorder="1" applyAlignment="1">
      <alignment horizontal="center"/>
    </xf>
    <xf numFmtId="0" fontId="23" fillId="0" borderId="13" xfId="0" applyFont="1" applyBorder="1" applyAlignment="1">
      <alignment horizontal="right"/>
    </xf>
    <xf numFmtId="3" fontId="30" fillId="0" borderId="0" xfId="0" applyNumberFormat="1" applyFont="1" applyAlignment="1">
      <alignment horizontal="left"/>
    </xf>
    <xf numFmtId="41" fontId="17" fillId="0" borderId="0" xfId="0" applyNumberFormat="1" applyFont="1"/>
    <xf numFmtId="0" fontId="0" fillId="0" borderId="0" xfId="0" applyFill="1"/>
    <xf numFmtId="0" fontId="25" fillId="0" borderId="0" xfId="0" applyFont="1" applyFill="1"/>
    <xf numFmtId="0" fontId="23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/>
    </xf>
    <xf numFmtId="165" fontId="23" fillId="0" borderId="0" xfId="0" applyNumberFormat="1" applyFont="1"/>
    <xf numFmtId="3" fontId="17" fillId="0" borderId="0" xfId="0" applyNumberFormat="1" applyFont="1"/>
    <xf numFmtId="3" fontId="23" fillId="0" borderId="0" xfId="0" applyNumberFormat="1" applyFont="1"/>
    <xf numFmtId="165" fontId="40" fillId="0" borderId="0" xfId="28" applyNumberFormat="1" applyFont="1"/>
    <xf numFmtId="165" fontId="23" fillId="0" borderId="0" xfId="28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165" fontId="1" fillId="0" borderId="0" xfId="28" applyNumberFormat="1" applyFont="1" applyFill="1"/>
    <xf numFmtId="165" fontId="23" fillId="0" borderId="0" xfId="28" applyNumberFormat="1" applyFont="1" applyAlignment="1" applyProtection="1"/>
    <xf numFmtId="3" fontId="23" fillId="0" borderId="0" xfId="28" applyNumberFormat="1" applyFont="1" applyAlignment="1">
      <alignment horizontal="right"/>
    </xf>
    <xf numFmtId="165" fontId="23" fillId="0" borderId="0" xfId="28" applyNumberFormat="1" applyFont="1"/>
    <xf numFmtId="0" fontId="0" fillId="0" borderId="0" xfId="0" applyFont="1" applyFill="1"/>
    <xf numFmtId="3" fontId="29" fillId="0" borderId="0" xfId="0" applyNumberFormat="1" applyFont="1" applyAlignment="1">
      <alignment horizontal="center"/>
    </xf>
    <xf numFmtId="0" fontId="0" fillId="0" borderId="0" xfId="0" applyFill="1" applyBorder="1"/>
    <xf numFmtId="0" fontId="27" fillId="0" borderId="0" xfId="0" applyFont="1" applyAlignment="1">
      <alignment horizontal="center"/>
    </xf>
    <xf numFmtId="0" fontId="23" fillId="0" borderId="21" xfId="0" applyFont="1" applyBorder="1" applyAlignment="1">
      <alignment horizontal="right" vertical="center"/>
    </xf>
    <xf numFmtId="1" fontId="28" fillId="24" borderId="13" xfId="0" applyNumberFormat="1" applyFont="1" applyFill="1" applyBorder="1" applyAlignment="1" applyProtection="1">
      <alignment horizontal="center"/>
    </xf>
    <xf numFmtId="164" fontId="28" fillId="24" borderId="12" xfId="0" applyNumberFormat="1" applyFont="1" applyFill="1" applyBorder="1" applyAlignment="1" applyProtection="1">
      <alignment horizontal="center" vertical="center"/>
    </xf>
    <xf numFmtId="164" fontId="28" fillId="24" borderId="13" xfId="0" applyNumberFormat="1" applyFont="1" applyFill="1" applyBorder="1" applyAlignment="1" applyProtection="1">
      <alignment horizontal="center" vertical="center"/>
    </xf>
    <xf numFmtId="164" fontId="28" fillId="0" borderId="14" xfId="0" applyNumberFormat="1" applyFont="1" applyFill="1" applyBorder="1" applyAlignment="1" applyProtection="1">
      <alignment horizontal="left" wrapText="1"/>
    </xf>
    <xf numFmtId="10" fontId="33" fillId="0" borderId="13" xfId="0" applyNumberFormat="1" applyFont="1" applyFill="1" applyBorder="1" applyAlignment="1" applyProtection="1">
      <alignment horizontal="left" wrapText="1"/>
    </xf>
    <xf numFmtId="10" fontId="41" fillId="0" borderId="14" xfId="0" applyNumberFormat="1" applyFont="1" applyFill="1" applyBorder="1" applyAlignment="1" applyProtection="1">
      <alignment horizontal="left" wrapText="1"/>
    </xf>
    <xf numFmtId="164" fontId="28" fillId="0" borderId="21" xfId="0" applyNumberFormat="1" applyFont="1" applyFill="1" applyBorder="1" applyAlignment="1" applyProtection="1">
      <alignment horizontal="left" wrapText="1"/>
    </xf>
    <xf numFmtId="164" fontId="28" fillId="0" borderId="12" xfId="0" applyNumberFormat="1" applyFont="1" applyFill="1" applyBorder="1" applyAlignment="1" applyProtection="1">
      <alignment horizontal="left" vertical="center" wrapText="1"/>
    </xf>
    <xf numFmtId="164" fontId="28" fillId="0" borderId="13" xfId="0" applyNumberFormat="1" applyFont="1" applyFill="1" applyBorder="1" applyAlignment="1" applyProtection="1">
      <alignment horizontal="left" wrapText="1"/>
    </xf>
    <xf numFmtId="165" fontId="23" fillId="0" borderId="0" xfId="28" applyNumberFormat="1" applyFont="1" applyProtection="1"/>
    <xf numFmtId="3" fontId="29" fillId="0" borderId="10" xfId="0" applyNumberFormat="1" applyFont="1" applyBorder="1" applyAlignment="1"/>
    <xf numFmtId="0" fontId="30" fillId="0" borderId="10" xfId="0" applyNumberFormat="1" applyFont="1" applyBorder="1" applyAlignment="1">
      <alignment horizontal="center"/>
    </xf>
    <xf numFmtId="10" fontId="17" fillId="0" borderId="0" xfId="28" applyNumberFormat="1" applyFont="1"/>
    <xf numFmtId="0" fontId="21" fillId="26" borderId="0" xfId="0" applyFont="1" applyFill="1" applyAlignment="1">
      <alignment horizontal="center"/>
    </xf>
    <xf numFmtId="9" fontId="0" fillId="26" borderId="0" xfId="0" applyNumberFormat="1" applyFill="1"/>
    <xf numFmtId="0" fontId="22" fillId="26" borderId="0" xfId="0" applyFont="1" applyFill="1" applyAlignment="1">
      <alignment horizontal="center"/>
    </xf>
    <xf numFmtId="0" fontId="0" fillId="26" borderId="0" xfId="0" applyFill="1"/>
    <xf numFmtId="0" fontId="17" fillId="26" borderId="0" xfId="0" applyFont="1" applyFill="1"/>
    <xf numFmtId="165" fontId="17" fillId="26" borderId="0" xfId="0" applyNumberFormat="1" applyFont="1" applyFill="1" applyBorder="1"/>
    <xf numFmtId="10" fontId="0" fillId="26" borderId="0" xfId="0" applyNumberFormat="1" applyFill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right"/>
    </xf>
    <xf numFmtId="10" fontId="41" fillId="0" borderId="13" xfId="0" applyNumberFormat="1" applyFont="1" applyFill="1" applyBorder="1" applyAlignment="1" applyProtection="1">
      <alignment horizontal="left" wrapText="1"/>
    </xf>
    <xf numFmtId="1" fontId="28" fillId="24" borderId="14" xfId="0" applyNumberFormat="1" applyFont="1" applyFill="1" applyBorder="1" applyAlignment="1" applyProtection="1">
      <alignment horizontal="center" vertical="center"/>
    </xf>
    <xf numFmtId="0" fontId="26" fillId="0" borderId="0" xfId="0" applyFont="1" applyFill="1"/>
    <xf numFmtId="0" fontId="0" fillId="0" borderId="0" xfId="0" applyFill="1" applyAlignment="1">
      <alignment wrapText="1"/>
    </xf>
    <xf numFmtId="0" fontId="17" fillId="0" borderId="0" xfId="0" applyFont="1" applyFill="1"/>
    <xf numFmtId="165" fontId="17" fillId="0" borderId="0" xfId="0" applyNumberFormat="1" applyFont="1" applyFill="1" applyBorder="1"/>
    <xf numFmtId="0" fontId="23" fillId="0" borderId="0" xfId="0" applyFont="1" applyFill="1" applyAlignment="1">
      <alignment horizontal="right"/>
    </xf>
    <xf numFmtId="3" fontId="17" fillId="0" borderId="0" xfId="0" applyNumberFormat="1" applyFont="1" applyFill="1" applyAlignment="1">
      <alignment horizontal="center"/>
    </xf>
    <xf numFmtId="168" fontId="0" fillId="0" borderId="0" xfId="0" applyNumberFormat="1"/>
    <xf numFmtId="3" fontId="17" fillId="0" borderId="0" xfId="0" applyNumberFormat="1" applyFont="1" applyFill="1"/>
    <xf numFmtId="165" fontId="24" fillId="0" borderId="0" xfId="0" applyNumberFormat="1" applyFont="1"/>
    <xf numFmtId="165" fontId="24" fillId="0" borderId="0" xfId="0" applyNumberFormat="1" applyFont="1" applyBorder="1"/>
    <xf numFmtId="164" fontId="28" fillId="0" borderId="12" xfId="0" applyNumberFormat="1" applyFont="1" applyFill="1" applyBorder="1" applyAlignment="1" applyProtection="1">
      <alignment horizontal="left" wrapText="1"/>
    </xf>
    <xf numFmtId="0" fontId="1" fillId="0" borderId="0" xfId="0" applyFont="1"/>
    <xf numFmtId="37" fontId="1" fillId="0" borderId="0" xfId="28" applyNumberFormat="1" applyFont="1" applyBorder="1"/>
    <xf numFmtId="165" fontId="23" fillId="0" borderId="0" xfId="0" applyNumberFormat="1" applyFont="1" applyBorder="1" applyAlignment="1">
      <alignment vertical="center"/>
    </xf>
    <xf numFmtId="1" fontId="36" fillId="0" borderId="0" xfId="0" applyNumberFormat="1" applyFont="1" applyAlignment="1" applyProtection="1">
      <alignment horizontal="center"/>
    </xf>
    <xf numFmtId="10" fontId="44" fillId="0" borderId="12" xfId="0" applyNumberFormat="1" applyFont="1" applyFill="1" applyBorder="1" applyAlignment="1" applyProtection="1">
      <alignment horizontal="left" wrapText="1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horizontal="right" vertical="center"/>
    </xf>
    <xf numFmtId="10" fontId="44" fillId="0" borderId="13" xfId="0" applyNumberFormat="1" applyFont="1" applyFill="1" applyBorder="1" applyAlignment="1" applyProtection="1">
      <alignment horizontal="left" wrapText="1"/>
    </xf>
    <xf numFmtId="0" fontId="45" fillId="0" borderId="0" xfId="0" applyFont="1"/>
    <xf numFmtId="165" fontId="1" fillId="0" borderId="0" xfId="28" applyNumberFormat="1" applyFont="1" applyAlignment="1" applyProtection="1"/>
    <xf numFmtId="3" fontId="23" fillId="0" borderId="0" xfId="28" applyNumberFormat="1" applyFont="1" applyAlignment="1" applyProtection="1">
      <alignment horizontal="right"/>
    </xf>
    <xf numFmtId="10" fontId="23" fillId="0" borderId="0" xfId="28" applyNumberFormat="1" applyFont="1" applyAlignment="1" applyProtection="1">
      <alignment horizontal="right"/>
    </xf>
    <xf numFmtId="41" fontId="1" fillId="0" borderId="0" xfId="28" applyNumberFormat="1" applyFont="1"/>
    <xf numFmtId="166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right"/>
    </xf>
    <xf numFmtId="3" fontId="29" fillId="0" borderId="0" xfId="0" applyNumberFormat="1" applyFont="1" applyFill="1" applyAlignment="1"/>
    <xf numFmtId="0" fontId="0" fillId="0" borderId="22" xfId="0" applyBorder="1"/>
    <xf numFmtId="0" fontId="0" fillId="0" borderId="22" xfId="0" applyBorder="1" applyAlignment="1">
      <alignment horizontal="center"/>
    </xf>
    <xf numFmtId="164" fontId="26" fillId="25" borderId="0" xfId="0" applyNumberFormat="1" applyFont="1" applyFill="1" applyAlignment="1">
      <alignment horizontal="center"/>
    </xf>
    <xf numFmtId="1" fontId="26" fillId="25" borderId="0" xfId="0" applyNumberFormat="1" applyFont="1" applyFill="1" applyAlignment="1">
      <alignment horizontal="center"/>
    </xf>
    <xf numFmtId="10" fontId="26" fillId="25" borderId="0" xfId="0" applyNumberFormat="1" applyFont="1" applyFill="1" applyAlignment="1">
      <alignment horizontal="center"/>
    </xf>
    <xf numFmtId="3" fontId="26" fillId="25" borderId="0" xfId="0" applyNumberFormat="1" applyFont="1" applyFill="1" applyAlignment="1">
      <alignment horizontal="center"/>
    </xf>
    <xf numFmtId="164" fontId="26" fillId="25" borderId="0" xfId="28" applyNumberFormat="1" applyFont="1" applyFill="1" applyAlignment="1">
      <alignment horizontal="center"/>
    </xf>
    <xf numFmtId="0" fontId="20" fillId="0" borderId="0" xfId="0" applyFont="1" applyAlignment="1">
      <alignment horizontal="center" wrapText="1"/>
    </xf>
    <xf numFmtId="37" fontId="24" fillId="0" borderId="0" xfId="28" applyNumberFormat="1" applyFont="1"/>
    <xf numFmtId="164" fontId="28" fillId="0" borderId="14" xfId="0" applyNumberFormat="1" applyFont="1" applyFill="1" applyBorder="1" applyAlignment="1" applyProtection="1">
      <alignment horizontal="left" vertical="center" wrapText="1"/>
    </xf>
    <xf numFmtId="164" fontId="46" fillId="0" borderId="14" xfId="0" applyNumberFormat="1" applyFont="1" applyFill="1" applyBorder="1" applyAlignment="1" applyProtection="1">
      <alignment horizontal="center" wrapText="1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0" fillId="0" borderId="20" xfId="0" applyBorder="1" applyAlignment="1">
      <alignment vertical="center"/>
    </xf>
    <xf numFmtId="41" fontId="1" fillId="0" borderId="0" xfId="28" applyNumberFormat="1" applyFont="1" applyBorder="1"/>
    <xf numFmtId="0" fontId="17" fillId="0" borderId="0" xfId="0" applyFont="1" applyAlignment="1">
      <alignment vertical="center"/>
    </xf>
    <xf numFmtId="0" fontId="38" fillId="0" borderId="0" xfId="0" applyFont="1" applyAlignment="1">
      <alignment horizontal="center" vertical="center" wrapText="1"/>
    </xf>
    <xf numFmtId="41" fontId="17" fillId="25" borderId="0" xfId="0" applyNumberFormat="1" applyFont="1" applyFill="1"/>
    <xf numFmtId="41" fontId="24" fillId="0" borderId="0" xfId="28" applyNumberFormat="1" applyFont="1"/>
    <xf numFmtId="0" fontId="0" fillId="0" borderId="0" xfId="0" applyAlignment="1">
      <alignment horizontal="right"/>
    </xf>
    <xf numFmtId="41" fontId="17" fillId="0" borderId="0" xfId="0" applyNumberFormat="1" applyFont="1" applyFill="1"/>
    <xf numFmtId="37" fontId="17" fillId="25" borderId="0" xfId="0" applyNumberFormat="1" applyFont="1" applyFill="1"/>
    <xf numFmtId="1" fontId="47" fillId="0" borderId="0" xfId="0" applyNumberFormat="1" applyFont="1" applyFill="1" applyBorder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3" fontId="17" fillId="0" borderId="0" xfId="0" applyNumberFormat="1" applyFont="1" applyAlignment="1" applyProtection="1">
      <alignment horizontal="right"/>
    </xf>
    <xf numFmtId="3" fontId="17" fillId="25" borderId="0" xfId="0" applyNumberFormat="1" applyFont="1" applyFill="1" applyProtection="1"/>
    <xf numFmtId="3" fontId="30" fillId="25" borderId="0" xfId="0" applyNumberFormat="1" applyFont="1" applyFill="1" applyAlignment="1"/>
    <xf numFmtId="165" fontId="17" fillId="25" borderId="0" xfId="0" applyNumberFormat="1" applyFont="1" applyFill="1"/>
    <xf numFmtId="3" fontId="30" fillId="25" borderId="0" xfId="0" applyNumberFormat="1" applyFont="1" applyFill="1" applyAlignment="1">
      <alignment horizontal="center"/>
    </xf>
    <xf numFmtId="3" fontId="23" fillId="0" borderId="0" xfId="28" applyNumberFormat="1" applyFont="1" applyAlignment="1">
      <alignment horizontal="right" vertical="center"/>
    </xf>
    <xf numFmtId="165" fontId="24" fillId="0" borderId="10" xfId="28" applyNumberFormat="1" applyFont="1" applyBorder="1"/>
    <xf numFmtId="165" fontId="1" fillId="0" borderId="10" xfId="28" applyNumberFormat="1" applyFont="1" applyBorder="1"/>
    <xf numFmtId="3" fontId="1" fillId="0" borderId="0" xfId="28" applyNumberFormat="1" applyFont="1"/>
    <xf numFmtId="3" fontId="17" fillId="0" borderId="0" xfId="28" applyNumberFormat="1" applyFont="1"/>
    <xf numFmtId="0" fontId="0" fillId="28" borderId="0" xfId="0" applyFill="1"/>
    <xf numFmtId="165" fontId="0" fillId="28" borderId="0" xfId="0" applyNumberFormat="1" applyFill="1"/>
    <xf numFmtId="41" fontId="17" fillId="28" borderId="0" xfId="0" applyNumberFormat="1" applyFont="1" applyFill="1"/>
    <xf numFmtId="0" fontId="0" fillId="28" borderId="0" xfId="0" applyFill="1" applyAlignment="1">
      <alignment horizontal="right"/>
    </xf>
    <xf numFmtId="37" fontId="17" fillId="28" borderId="0" xfId="0" applyNumberFormat="1" applyFont="1" applyFill="1"/>
    <xf numFmtId="10" fontId="1" fillId="0" borderId="0" xfId="28" applyNumberFormat="1" applyFont="1" applyAlignment="1">
      <alignment horizontal="center"/>
    </xf>
    <xf numFmtId="10" fontId="1" fillId="0" borderId="0" xfId="28" applyNumberFormat="1" applyFont="1" applyFill="1" applyAlignment="1">
      <alignment horizontal="center"/>
    </xf>
    <xf numFmtId="164" fontId="28" fillId="24" borderId="14" xfId="0" applyNumberFormat="1" applyFont="1" applyFill="1" applyBorder="1" applyAlignment="1" applyProtection="1">
      <alignment horizontal="center" vertical="center"/>
    </xf>
    <xf numFmtId="1" fontId="28" fillId="24" borderId="12" xfId="0" applyNumberFormat="1" applyFont="1" applyFill="1" applyBorder="1" applyAlignment="1" applyProtection="1">
      <alignment horizontal="center" vertical="center"/>
    </xf>
    <xf numFmtId="10" fontId="28" fillId="27" borderId="12" xfId="0" applyNumberFormat="1" applyFont="1" applyFill="1" applyBorder="1" applyAlignment="1" applyProtection="1">
      <alignment horizontal="center"/>
    </xf>
    <xf numFmtId="164" fontId="28" fillId="24" borderId="21" xfId="0" applyNumberFormat="1" applyFont="1" applyFill="1" applyBorder="1" applyAlignment="1" applyProtection="1">
      <alignment horizontal="center" vertical="center"/>
    </xf>
    <xf numFmtId="10" fontId="28" fillId="27" borderId="13" xfId="0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 applyProtection="1">
      <alignment horizontal="center" vertical="center"/>
    </xf>
    <xf numFmtId="164" fontId="0" fillId="0" borderId="12" xfId="0" applyNumberFormat="1" applyBorder="1" applyAlignment="1" applyProtection="1">
      <alignment horizontal="center" vertical="center"/>
    </xf>
    <xf numFmtId="164" fontId="0" fillId="27" borderId="21" xfId="0" applyNumberFormat="1" applyFill="1" applyBorder="1" applyAlignment="1" applyProtection="1">
      <alignment horizontal="center" vertical="center"/>
    </xf>
    <xf numFmtId="10" fontId="23" fillId="0" borderId="0" xfId="28" applyNumberFormat="1" applyFont="1" applyAlignment="1">
      <alignment horizontal="center"/>
    </xf>
    <xf numFmtId="0" fontId="26" fillId="0" borderId="0" xfId="0" applyFont="1" applyAlignment="1">
      <alignment horizontal="right"/>
    </xf>
    <xf numFmtId="10" fontId="17" fillId="0" borderId="0" xfId="28" applyNumberFormat="1" applyFont="1" applyFill="1" applyAlignment="1">
      <alignment horizontal="center"/>
    </xf>
    <xf numFmtId="37" fontId="23" fillId="0" borderId="0" xfId="28" applyNumberFormat="1" applyFont="1" applyAlignment="1">
      <alignment horizontal="right"/>
    </xf>
    <xf numFmtId="3" fontId="30" fillId="0" borderId="0" xfId="0" applyNumberFormat="1" applyFont="1" applyAlignment="1">
      <alignment horizontal="left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2 2" xfId="41"/>
    <cellStyle name="Normal 3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3"/>
  <sheetViews>
    <sheetView tabSelected="1" zoomScaleNormal="100" zoomScaleSheetLayoutView="75" workbookViewId="0"/>
  </sheetViews>
  <sheetFormatPr defaultRowHeight="15"/>
  <cols>
    <col min="1" max="1" width="3.7109375" customWidth="1"/>
    <col min="2" max="2" width="64" customWidth="1"/>
    <col min="3" max="3" width="18.140625" customWidth="1"/>
    <col min="4" max="4" width="55.140625" customWidth="1"/>
    <col min="5" max="5" width="3.7109375" customWidth="1"/>
  </cols>
  <sheetData>
    <row r="1" spans="2:4" ht="15" customHeight="1"/>
    <row r="2" spans="2:4" ht="18.75" customHeight="1">
      <c r="B2" s="44" t="s">
        <v>74</v>
      </c>
    </row>
    <row r="3" spans="2:4" ht="15" customHeight="1" thickBot="1"/>
    <row r="4" spans="2:4" s="14" customFormat="1" ht="80.099999999999994" customHeight="1">
      <c r="B4" s="70" t="s">
        <v>23</v>
      </c>
      <c r="C4" s="212">
        <f>C22</f>
        <v>107837567.1675</v>
      </c>
      <c r="D4" s="180" t="s">
        <v>94</v>
      </c>
    </row>
    <row r="5" spans="2:4" ht="16.149999999999999" customHeight="1" thickBot="1">
      <c r="B5" s="68" t="s">
        <v>81</v>
      </c>
      <c r="C5" s="213">
        <v>2019</v>
      </c>
      <c r="D5" s="153"/>
    </row>
    <row r="6" spans="2:4" ht="15.95" customHeight="1">
      <c r="B6" s="70" t="s">
        <v>56</v>
      </c>
      <c r="C6" s="142">
        <v>2020</v>
      </c>
      <c r="D6" s="181" t="s">
        <v>93</v>
      </c>
    </row>
    <row r="7" spans="2:4" ht="15.95" customHeight="1">
      <c r="B7" s="45" t="s">
        <v>40</v>
      </c>
      <c r="C7" s="214">
        <v>3.7499999999999999E-2</v>
      </c>
      <c r="D7" s="158" t="s">
        <v>90</v>
      </c>
    </row>
    <row r="8" spans="2:4" ht="15.95" customHeight="1" thickBot="1">
      <c r="B8" s="97" t="s">
        <v>42</v>
      </c>
      <c r="C8" s="119">
        <v>30</v>
      </c>
      <c r="D8" s="141" t="s">
        <v>78</v>
      </c>
    </row>
    <row r="9" spans="2:4" ht="32.1" customHeight="1">
      <c r="B9" s="70" t="s">
        <v>72</v>
      </c>
      <c r="C9" s="142" t="s">
        <v>37</v>
      </c>
      <c r="D9" s="124" t="s">
        <v>75</v>
      </c>
    </row>
    <row r="10" spans="2:4" ht="16.149999999999999" customHeight="1">
      <c r="B10" s="45" t="s">
        <v>41</v>
      </c>
      <c r="C10" s="214">
        <v>2.2499999999999999E-2</v>
      </c>
      <c r="D10" s="158" t="s">
        <v>91</v>
      </c>
    </row>
    <row r="11" spans="2:4" ht="16.5" thickBot="1">
      <c r="B11" s="97" t="s">
        <v>43</v>
      </c>
      <c r="C11" s="119">
        <v>1</v>
      </c>
      <c r="D11" s="123"/>
    </row>
    <row r="12" spans="2:4" ht="35.1" customHeight="1" thickBot="1">
      <c r="B12" s="118" t="s">
        <v>36</v>
      </c>
      <c r="C12" s="215">
        <v>3000000</v>
      </c>
      <c r="D12" s="125" t="s">
        <v>38</v>
      </c>
    </row>
    <row r="13" spans="2:4" ht="31.5">
      <c r="B13" s="70" t="s">
        <v>27</v>
      </c>
      <c r="C13" s="212">
        <v>2000000</v>
      </c>
      <c r="D13" s="122" t="s">
        <v>39</v>
      </c>
    </row>
    <row r="14" spans="2:4" ht="32.25" thickBot="1">
      <c r="B14" s="97" t="s">
        <v>48</v>
      </c>
      <c r="C14" s="216">
        <v>3.2500000000000001E-2</v>
      </c>
      <c r="D14" s="158" t="s">
        <v>92</v>
      </c>
    </row>
    <row r="15" spans="2:4" ht="16.350000000000001" customHeight="1" thickBot="1">
      <c r="B15" s="97" t="s">
        <v>44</v>
      </c>
      <c r="C15" s="216">
        <v>0.1</v>
      </c>
      <c r="D15" s="162"/>
    </row>
    <row r="16" spans="2:4" ht="15.95" customHeight="1">
      <c r="B16" s="68" t="s">
        <v>45</v>
      </c>
      <c r="C16" s="120">
        <f>320000</f>
        <v>320000</v>
      </c>
      <c r="D16" s="126" t="s">
        <v>76</v>
      </c>
    </row>
    <row r="17" spans="2:4" ht="47.85" customHeight="1" thickBot="1">
      <c r="B17" s="69" t="s">
        <v>28</v>
      </c>
      <c r="C17" s="121">
        <f>150000+475000+75000+85000+85000+300000</f>
        <v>1170000</v>
      </c>
      <c r="D17" s="127" t="s">
        <v>77</v>
      </c>
    </row>
    <row r="18" spans="2:4" ht="15.75" thickBot="1">
      <c r="C18" s="62"/>
    </row>
    <row r="19" spans="2:4">
      <c r="B19" s="182" t="s">
        <v>83</v>
      </c>
      <c r="C19" s="217">
        <v>88585821</v>
      </c>
      <c r="D19" s="183"/>
    </row>
    <row r="20" spans="2:4" ht="29.65" customHeight="1">
      <c r="B20" s="159" t="s">
        <v>95</v>
      </c>
      <c r="C20" s="218">
        <f>103022826</f>
        <v>103022826</v>
      </c>
      <c r="D20" s="160" t="s">
        <v>96</v>
      </c>
    </row>
    <row r="21" spans="2:4" ht="14.85" customHeight="1" thickBot="1">
      <c r="B21" s="159" t="s">
        <v>97</v>
      </c>
      <c r="C21" s="218">
        <f>(C20-C19)/4</f>
        <v>3609251.25</v>
      </c>
      <c r="D21" s="160"/>
    </row>
    <row r="22" spans="2:4" ht="14.85" customHeight="1" thickBot="1">
      <c r="B22" s="161" t="s">
        <v>98</v>
      </c>
      <c r="C22" s="219">
        <f>C20+C21+(C21*0.334)</f>
        <v>107837567.1675</v>
      </c>
      <c r="D22" s="184"/>
    </row>
    <row r="23" spans="2:4" ht="15.75" thickBot="1">
      <c r="B23" s="171"/>
      <c r="C23" s="172"/>
      <c r="D23" s="171"/>
    </row>
  </sheetData>
  <sheetProtection algorithmName="SHA-512" hashValue="JZlYqdNQiYCcz85BTfUqrJJmew00d8sKGTl2FKc+kHPNWEor09Ku03evBeZbIpcAkz1fBjf56x0j2ilS7/qGVA==" saltValue="gYnF6RIoRQBCI4xrFL7Oxg==" spinCount="100000" sheet="1" objects="1" scenarios="1"/>
  <phoneticPr fontId="19" type="noConversion"/>
  <printOptions headings="1" gridLines="1"/>
  <pageMargins left="0.7" right="0.7" top="0.75" bottom="0.75" header="0.3" footer="0.3"/>
  <pageSetup scale="73" orientation="landscape" cellComments="asDisplayed" horizontalDpi="4294967293" verticalDpi="4294967293" r:id="rId1"/>
  <headerFooter>
    <oddHeader>&amp;L&amp;F&amp;RPage &amp;P of &amp;N</oddHeader>
    <oddFooter>&amp;L&amp;A&amp;R&amp;D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89"/>
  <sheetViews>
    <sheetView tabSelected="1" zoomScaleNormal="100" zoomScaleSheetLayoutView="75" workbookViewId="0"/>
  </sheetViews>
  <sheetFormatPr defaultRowHeight="15"/>
  <cols>
    <col min="1" max="1" width="72.140625" customWidth="1"/>
    <col min="2" max="2" width="17.5703125" customWidth="1"/>
    <col min="3" max="4" width="13.7109375" customWidth="1"/>
    <col min="5" max="8" width="14" customWidth="1"/>
    <col min="9" max="13" width="13.7109375" customWidth="1"/>
    <col min="14" max="14" width="15.42578125" customWidth="1"/>
    <col min="15" max="40" width="13.7109375" customWidth="1"/>
    <col min="41" max="41" width="18.42578125" customWidth="1"/>
  </cols>
  <sheetData>
    <row r="1" spans="1:42" ht="21">
      <c r="A1" s="101" t="s">
        <v>66</v>
      </c>
      <c r="C1" s="117">
        <v>2012</v>
      </c>
      <c r="D1" s="117">
        <v>2013</v>
      </c>
      <c r="E1" s="117">
        <v>2014</v>
      </c>
      <c r="F1" s="117">
        <v>2015</v>
      </c>
      <c r="G1" s="117">
        <v>2016</v>
      </c>
      <c r="H1" s="117">
        <v>2017</v>
      </c>
      <c r="I1" s="117">
        <v>2018</v>
      </c>
      <c r="J1" s="117">
        <v>2019</v>
      </c>
      <c r="K1" s="117">
        <v>2020</v>
      </c>
      <c r="L1" s="117">
        <v>2021</v>
      </c>
      <c r="M1" s="117">
        <v>2022</v>
      </c>
      <c r="N1" s="117">
        <v>2023</v>
      </c>
      <c r="O1" s="117">
        <v>2024</v>
      </c>
      <c r="P1" s="117">
        <v>2025</v>
      </c>
      <c r="Q1" s="117">
        <v>2026</v>
      </c>
      <c r="R1" s="117">
        <v>2027</v>
      </c>
      <c r="S1" s="117">
        <v>2028</v>
      </c>
      <c r="T1" s="117">
        <v>2029</v>
      </c>
      <c r="U1" s="117">
        <v>2030</v>
      </c>
      <c r="V1" s="117">
        <v>2031</v>
      </c>
      <c r="W1" s="117">
        <v>2032</v>
      </c>
      <c r="X1" s="117">
        <v>2033</v>
      </c>
      <c r="Y1" s="117">
        <v>2034</v>
      </c>
      <c r="Z1" s="117">
        <v>2035</v>
      </c>
      <c r="AA1" s="117">
        <v>2036</v>
      </c>
      <c r="AB1" s="117">
        <v>2037</v>
      </c>
      <c r="AC1" s="117">
        <v>2038</v>
      </c>
      <c r="AD1" s="117">
        <v>2039</v>
      </c>
      <c r="AE1" s="117">
        <v>2040</v>
      </c>
      <c r="AF1" s="117">
        <v>2041</v>
      </c>
      <c r="AG1" s="117">
        <v>2042</v>
      </c>
      <c r="AH1" s="117">
        <v>2043</v>
      </c>
      <c r="AI1" s="117">
        <v>2044</v>
      </c>
      <c r="AJ1" s="117">
        <v>2045</v>
      </c>
      <c r="AK1" s="117">
        <v>2046</v>
      </c>
      <c r="AL1" s="117">
        <v>2047</v>
      </c>
      <c r="AM1" s="117">
        <v>2048</v>
      </c>
      <c r="AN1" s="117">
        <v>2049</v>
      </c>
      <c r="AO1" s="117" t="s">
        <v>0</v>
      </c>
    </row>
    <row r="2" spans="1:42" ht="18" customHeight="1">
      <c r="A2" s="132"/>
      <c r="B2" s="133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5"/>
    </row>
    <row r="3" spans="1:42" ht="15" customHeight="1">
      <c r="A3" s="3" t="s">
        <v>107</v>
      </c>
      <c r="B3" s="4">
        <v>0.03</v>
      </c>
    </row>
    <row r="4" spans="1:42" ht="43.5" customHeight="1">
      <c r="A4" s="31" t="s">
        <v>1</v>
      </c>
      <c r="B4" s="6"/>
      <c r="C4" s="108">
        <v>7622742</v>
      </c>
      <c r="D4" s="108">
        <v>7877433</v>
      </c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9"/>
    </row>
    <row r="5" spans="1:42">
      <c r="A5" s="11"/>
      <c r="B5" s="7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2">
      <c r="A6" s="1" t="s">
        <v>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2" ht="15.95" customHeight="1">
      <c r="A7" t="s">
        <v>68</v>
      </c>
      <c r="B7" s="6"/>
      <c r="C7" s="7">
        <v>2679000</v>
      </c>
      <c r="D7" s="7">
        <v>1673747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>
        <f>1673747</f>
        <v>1673747</v>
      </c>
      <c r="AA7" s="7">
        <f>502124</f>
        <v>502124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109"/>
    </row>
    <row r="8" spans="1:42" ht="15.95" customHeight="1">
      <c r="A8" t="s">
        <v>3</v>
      </c>
      <c r="B8" s="6"/>
      <c r="C8" s="7">
        <v>848558</v>
      </c>
      <c r="D8" s="7">
        <v>882488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>
        <f>2091542</f>
        <v>2091542</v>
      </c>
      <c r="AA8" s="7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109"/>
    </row>
    <row r="9" spans="1:42" ht="16.149999999999999" customHeight="1">
      <c r="A9" t="s">
        <v>4</v>
      </c>
      <c r="B9" s="6"/>
      <c r="C9" s="7">
        <v>-90593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8"/>
    </row>
    <row r="10" spans="1:42" ht="16.149999999999999" customHeight="1">
      <c r="A10" s="9" t="s">
        <v>69</v>
      </c>
      <c r="B10" s="6"/>
      <c r="C10" s="10">
        <v>51460</v>
      </c>
      <c r="D10" s="10">
        <v>51460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202">
        <f>412433</f>
        <v>412433</v>
      </c>
      <c r="AA10" s="201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6"/>
      <c r="AP10" s="154"/>
    </row>
    <row r="11" spans="1:42" ht="15.75">
      <c r="A11" s="95" t="s">
        <v>5</v>
      </c>
      <c r="B11" s="12"/>
      <c r="C11" s="16">
        <f>SUM(C7:C10)</f>
        <v>3488425</v>
      </c>
      <c r="D11" s="16">
        <f>SUM(D7:D10)</f>
        <v>2607695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>
        <f>SUM(Z7:Z10)</f>
        <v>4177722</v>
      </c>
      <c r="AA11" s="16">
        <f>SUM(AA7:AA10)</f>
        <v>502124</v>
      </c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09"/>
    </row>
    <row r="12" spans="1:42" ht="15.95" customHeight="1">
      <c r="A12" s="12" t="s">
        <v>6</v>
      </c>
      <c r="B12" s="13"/>
      <c r="C12" s="7">
        <v>43295</v>
      </c>
      <c r="D12" s="7">
        <v>31943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>
        <f>31943</f>
        <v>31943</v>
      </c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8"/>
    </row>
    <row r="13" spans="1:42" ht="15.95" customHeight="1">
      <c r="A13" s="9" t="s">
        <v>108</v>
      </c>
      <c r="B13" s="13"/>
      <c r="C13" s="10">
        <v>670055</v>
      </c>
      <c r="D13" s="179">
        <f>C13+(C13*$B$3)</f>
        <v>690156.65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79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51"/>
    </row>
    <row r="14" spans="1:42">
      <c r="A14" s="11" t="s">
        <v>71</v>
      </c>
      <c r="B14" s="12"/>
      <c r="C14" s="16">
        <f>SUM(C11:C13)</f>
        <v>4201775</v>
      </c>
      <c r="D14" s="16">
        <f>SUM(D11:D13)</f>
        <v>3329794.65</v>
      </c>
      <c r="E14" s="16"/>
      <c r="F14" s="16"/>
      <c r="G14" s="16"/>
      <c r="H14" s="16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4"/>
    </row>
    <row r="15" spans="1:42" ht="16.149999999999999" customHeight="1">
      <c r="A15" s="14" t="s">
        <v>109</v>
      </c>
      <c r="B15" s="6"/>
      <c r="C15" s="15">
        <v>527065</v>
      </c>
      <c r="D15" s="189">
        <f>C15+(C15*$B$3)</f>
        <v>542876.94999999995</v>
      </c>
      <c r="E15" s="10"/>
      <c r="F15" s="10"/>
      <c r="G15" s="10"/>
      <c r="H15" s="10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5"/>
      <c r="AA15" s="17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52"/>
    </row>
    <row r="16" spans="1:42" ht="15.75">
      <c r="A16" s="5" t="s">
        <v>7</v>
      </c>
      <c r="C16" s="113">
        <f>SUM(C14:C15)</f>
        <v>4728840</v>
      </c>
      <c r="D16" s="113">
        <f>SUM(D14:D15)</f>
        <v>3872671.5999999996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04"/>
    </row>
    <row r="17" spans="1:41">
      <c r="A17" s="11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3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8"/>
    </row>
    <row r="18" spans="1:41" ht="22.5">
      <c r="A18" s="44" t="s">
        <v>8</v>
      </c>
      <c r="B18" s="187" t="s">
        <v>35</v>
      </c>
      <c r="C18" s="111">
        <f>+C4+C16</f>
        <v>12351582</v>
      </c>
      <c r="D18" s="111">
        <f>+D4+D16</f>
        <v>11750104.6</v>
      </c>
      <c r="E18" s="111"/>
      <c r="F18" s="111"/>
      <c r="G18" s="111">
        <v>11657325</v>
      </c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28"/>
    </row>
    <row r="19" spans="1:41" ht="18.75">
      <c r="A19" s="44" t="s">
        <v>116</v>
      </c>
      <c r="B19" s="187"/>
      <c r="C19" s="111"/>
      <c r="D19" s="111"/>
      <c r="E19" s="111"/>
      <c r="F19" s="111"/>
      <c r="G19" s="111">
        <v>15960159</v>
      </c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28"/>
    </row>
    <row r="20" spans="1:41" ht="18.75">
      <c r="A20" s="221"/>
      <c r="B20" s="9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28"/>
    </row>
    <row r="21" spans="1:41" ht="18.75">
      <c r="A21" s="163" t="s">
        <v>84</v>
      </c>
      <c r="B21" s="91"/>
      <c r="C21" s="111"/>
      <c r="D21" s="111"/>
      <c r="E21" s="111"/>
      <c r="F21" s="111"/>
      <c r="G21" s="166"/>
      <c r="H21" s="166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28"/>
    </row>
    <row r="22" spans="1:41" ht="15.75">
      <c r="A22" s="32" t="s">
        <v>85</v>
      </c>
      <c r="B22" s="91"/>
      <c r="C22" s="111"/>
      <c r="D22" s="111"/>
      <c r="E22" s="111"/>
      <c r="F22" s="111"/>
      <c r="G22" s="164"/>
      <c r="H22" s="164">
        <f>H18*G21</f>
        <v>0</v>
      </c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28"/>
    </row>
    <row r="23" spans="1:41">
      <c r="A23" t="s">
        <v>86</v>
      </c>
      <c r="B23" s="12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41" ht="15.75">
      <c r="B24" s="12"/>
      <c r="C24" s="7"/>
      <c r="D24" s="7"/>
      <c r="E24" s="7"/>
      <c r="F24" s="7"/>
      <c r="G24" s="220">
        <f>G25/G26</f>
        <v>0.72393674502615579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1:41" ht="18.75">
      <c r="A25" s="44" t="s">
        <v>88</v>
      </c>
      <c r="B25" s="12"/>
      <c r="C25" s="7"/>
      <c r="D25" s="7"/>
      <c r="E25" s="7"/>
      <c r="F25" s="7"/>
      <c r="G25" s="165">
        <f>13159025</f>
        <v>13159025</v>
      </c>
      <c r="H25" s="165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1:41" ht="14.45" customHeight="1">
      <c r="A26" t="s">
        <v>117</v>
      </c>
      <c r="B26" s="12"/>
      <c r="C26" s="7"/>
      <c r="D26" s="7"/>
      <c r="E26" s="7"/>
      <c r="F26" s="7"/>
      <c r="G26" s="223">
        <f>18177037</f>
        <v>18177037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1:41" ht="14.45" customHeight="1">
      <c r="A27" t="s">
        <v>87</v>
      </c>
      <c r="B27" s="17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200">
        <f>Z29-Z7-Z8-Z10-Z12+AA11</f>
        <v>18481970.759909999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1" ht="14.45" customHeight="1">
      <c r="A28" s="145" t="s">
        <v>89</v>
      </c>
      <c r="B28" s="12"/>
      <c r="C28" s="7"/>
      <c r="D28" s="7"/>
      <c r="E28" s="7"/>
      <c r="F28" s="7"/>
      <c r="G28" s="7"/>
      <c r="H28" s="7"/>
      <c r="I28" s="222">
        <f>(G26-G19)/G19</f>
        <v>0.13890074654018172</v>
      </c>
      <c r="J28" s="92"/>
      <c r="K28" s="92"/>
      <c r="L28" s="131">
        <f>'Affordability Variables'!C15</f>
        <v>0.1</v>
      </c>
      <c r="M28" s="17"/>
      <c r="N28" s="92"/>
      <c r="O28" s="131">
        <f>L28</f>
        <v>0.1</v>
      </c>
      <c r="P28" s="17"/>
      <c r="Q28" s="92"/>
      <c r="R28" s="131">
        <f>L28</f>
        <v>0.1</v>
      </c>
      <c r="S28" s="17"/>
      <c r="T28" s="92"/>
      <c r="U28" s="131">
        <f>L28</f>
        <v>0.1</v>
      </c>
      <c r="V28" s="17"/>
      <c r="W28" s="92"/>
      <c r="X28" s="131">
        <f>L28</f>
        <v>0.1</v>
      </c>
      <c r="Y28" s="17"/>
      <c r="Z28" s="92"/>
      <c r="AA28" s="131">
        <f>L28</f>
        <v>0.1</v>
      </c>
      <c r="AB28" s="17"/>
      <c r="AC28" s="17"/>
      <c r="AD28" s="131">
        <f>L28</f>
        <v>0.1</v>
      </c>
      <c r="AE28" s="131"/>
      <c r="AF28" s="131"/>
      <c r="AG28" s="131">
        <f>O28</f>
        <v>0.1</v>
      </c>
      <c r="AH28" s="131"/>
      <c r="AI28" s="131"/>
      <c r="AJ28" s="131">
        <f>R28</f>
        <v>0.1</v>
      </c>
      <c r="AK28" s="131"/>
      <c r="AL28" s="131"/>
      <c r="AM28" s="131">
        <f>U28</f>
        <v>0.1</v>
      </c>
      <c r="AN28" s="131"/>
    </row>
    <row r="29" spans="1:41" ht="14.45" customHeight="1">
      <c r="A29" s="145" t="s">
        <v>105</v>
      </c>
      <c r="B29" s="144"/>
      <c r="C29" s="107"/>
      <c r="D29" s="107"/>
      <c r="E29" s="107"/>
      <c r="F29" s="107"/>
      <c r="G29" s="107"/>
      <c r="H29" s="107"/>
      <c r="I29" s="112">
        <f>13777941</f>
        <v>13777941</v>
      </c>
      <c r="J29" s="112">
        <f>(I29+J28*I29)</f>
        <v>13777941</v>
      </c>
      <c r="K29" s="112">
        <f t="shared" ref="K29:AN29" si="0">(J29+K28*J29)</f>
        <v>13777941</v>
      </c>
      <c r="L29" s="112">
        <f>(K29+L28*K29)</f>
        <v>15155735.1</v>
      </c>
      <c r="M29" s="112">
        <f t="shared" si="0"/>
        <v>15155735.1</v>
      </c>
      <c r="N29" s="112">
        <f t="shared" si="0"/>
        <v>15155735.1</v>
      </c>
      <c r="O29" s="112">
        <f t="shared" si="0"/>
        <v>16671308.609999999</v>
      </c>
      <c r="P29" s="112">
        <f t="shared" si="0"/>
        <v>16671308.609999999</v>
      </c>
      <c r="Q29" s="112">
        <f t="shared" si="0"/>
        <v>16671308.609999999</v>
      </c>
      <c r="R29" s="112">
        <f t="shared" si="0"/>
        <v>18338439.471000001</v>
      </c>
      <c r="S29" s="112">
        <f t="shared" si="0"/>
        <v>18338439.471000001</v>
      </c>
      <c r="T29" s="112">
        <f t="shared" si="0"/>
        <v>18338439.471000001</v>
      </c>
      <c r="U29" s="112">
        <f t="shared" si="0"/>
        <v>20172283.418099999</v>
      </c>
      <c r="V29" s="112">
        <f t="shared" si="0"/>
        <v>20172283.418099999</v>
      </c>
      <c r="W29" s="112">
        <f t="shared" si="0"/>
        <v>20172283.418099999</v>
      </c>
      <c r="X29" s="112">
        <f t="shared" si="0"/>
        <v>22189511.759909999</v>
      </c>
      <c r="Y29" s="112">
        <f t="shared" si="0"/>
        <v>22189511.759909999</v>
      </c>
      <c r="Z29" s="112">
        <f t="shared" si="0"/>
        <v>22189511.759909999</v>
      </c>
      <c r="AA29" s="112">
        <f>((1+AA28)*AA27)</f>
        <v>20330167.835901</v>
      </c>
      <c r="AB29" s="112">
        <f t="shared" si="0"/>
        <v>20330167.835901</v>
      </c>
      <c r="AC29" s="112">
        <f t="shared" si="0"/>
        <v>20330167.835901</v>
      </c>
      <c r="AD29" s="112">
        <f t="shared" si="0"/>
        <v>22363184.6194911</v>
      </c>
      <c r="AE29" s="112">
        <f t="shared" si="0"/>
        <v>22363184.6194911</v>
      </c>
      <c r="AF29" s="112">
        <f t="shared" si="0"/>
        <v>22363184.6194911</v>
      </c>
      <c r="AG29" s="112">
        <f t="shared" si="0"/>
        <v>24599503.08144021</v>
      </c>
      <c r="AH29" s="112">
        <f t="shared" si="0"/>
        <v>24599503.08144021</v>
      </c>
      <c r="AI29" s="112">
        <f t="shared" si="0"/>
        <v>24599503.08144021</v>
      </c>
      <c r="AJ29" s="112">
        <f t="shared" si="0"/>
        <v>27059453.389584232</v>
      </c>
      <c r="AK29" s="112">
        <f t="shared" si="0"/>
        <v>27059453.389584232</v>
      </c>
      <c r="AL29" s="112">
        <f t="shared" si="0"/>
        <v>27059453.389584232</v>
      </c>
      <c r="AM29" s="112">
        <f t="shared" si="0"/>
        <v>29765398.728542656</v>
      </c>
      <c r="AN29" s="112">
        <f t="shared" si="0"/>
        <v>29765398.728542656</v>
      </c>
      <c r="AO29" s="106">
        <f>SUM(J29:AN29)</f>
        <v>647725441.31336498</v>
      </c>
    </row>
    <row r="30" spans="1:41" ht="14.45" customHeight="1">
      <c r="B30" s="144"/>
      <c r="C30" s="107"/>
      <c r="D30" s="107"/>
      <c r="E30" s="107"/>
      <c r="F30" s="107"/>
      <c r="G30" s="107"/>
      <c r="H30" s="107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>
        <f>Z32-Z7-Z8-Z10-Z12+AA11</f>
        <v>23799551.213810008</v>
      </c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06"/>
    </row>
    <row r="31" spans="1:41" ht="14.45" customHeight="1">
      <c r="A31" s="145" t="s">
        <v>103</v>
      </c>
      <c r="B31" s="12"/>
      <c r="C31" s="7"/>
      <c r="D31" s="7"/>
      <c r="E31" s="7"/>
      <c r="F31" s="7"/>
      <c r="G31" s="7"/>
      <c r="H31" s="203">
        <f>156274</f>
        <v>156274</v>
      </c>
      <c r="I31" s="203">
        <f>563996</f>
        <v>563996</v>
      </c>
      <c r="J31" s="203">
        <f>1012620</f>
        <v>1012620</v>
      </c>
      <c r="K31" s="203">
        <f>1325985</f>
        <v>1325985</v>
      </c>
      <c r="L31" s="203">
        <f>(1725800-K31)</f>
        <v>399815</v>
      </c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105"/>
    </row>
    <row r="32" spans="1:41" ht="14.45" customHeight="1">
      <c r="A32" s="145" t="s">
        <v>114</v>
      </c>
      <c r="B32" s="12"/>
      <c r="C32" s="7"/>
      <c r="D32" s="7"/>
      <c r="E32" s="7"/>
      <c r="F32" s="7"/>
      <c r="G32" s="7"/>
      <c r="H32" s="203">
        <f>I29</f>
        <v>13777941</v>
      </c>
      <c r="I32" s="203">
        <f>H32</f>
        <v>13777941</v>
      </c>
      <c r="J32" s="203">
        <f>I32</f>
        <v>13777941</v>
      </c>
      <c r="K32" s="203">
        <f>J32</f>
        <v>13777941</v>
      </c>
      <c r="L32" s="203">
        <f>(K33*(1+L28))</f>
        <v>17061914.100000001</v>
      </c>
      <c r="M32" s="203">
        <f>L32</f>
        <v>17061914.100000001</v>
      </c>
      <c r="N32" s="204">
        <f>M33</f>
        <v>18787714.100000001</v>
      </c>
      <c r="O32" s="204">
        <f>N32*(1+O28)</f>
        <v>20666485.510000002</v>
      </c>
      <c r="P32" s="204">
        <f t="shared" ref="P32:AN32" si="1">O32*(1+P28)</f>
        <v>20666485.510000002</v>
      </c>
      <c r="Q32" s="204">
        <f t="shared" si="1"/>
        <v>20666485.510000002</v>
      </c>
      <c r="R32" s="204">
        <f t="shared" si="1"/>
        <v>22733134.061000004</v>
      </c>
      <c r="S32" s="204">
        <f t="shared" si="1"/>
        <v>22733134.061000004</v>
      </c>
      <c r="T32" s="204">
        <f t="shared" si="1"/>
        <v>22733134.061000004</v>
      </c>
      <c r="U32" s="204">
        <f>T32*(1+U28)</f>
        <v>25006447.467100006</v>
      </c>
      <c r="V32" s="204">
        <f t="shared" si="1"/>
        <v>25006447.467100006</v>
      </c>
      <c r="W32" s="204">
        <f t="shared" si="1"/>
        <v>25006447.467100006</v>
      </c>
      <c r="X32" s="204">
        <f t="shared" si="1"/>
        <v>27507092.213810008</v>
      </c>
      <c r="Y32" s="204">
        <f t="shared" si="1"/>
        <v>27507092.213810008</v>
      </c>
      <c r="Z32" s="204">
        <f t="shared" si="1"/>
        <v>27507092.213810008</v>
      </c>
      <c r="AA32" s="204">
        <f>AA30*(1+AA28)</f>
        <v>26179506.335191011</v>
      </c>
      <c r="AB32" s="204">
        <f t="shared" si="1"/>
        <v>26179506.335191011</v>
      </c>
      <c r="AC32" s="204">
        <f t="shared" si="1"/>
        <v>26179506.335191011</v>
      </c>
      <c r="AD32" s="204">
        <f t="shared" si="1"/>
        <v>28797456.968710113</v>
      </c>
      <c r="AE32" s="204">
        <f t="shared" si="1"/>
        <v>28797456.968710113</v>
      </c>
      <c r="AF32" s="204">
        <f t="shared" si="1"/>
        <v>28797456.968710113</v>
      </c>
      <c r="AG32" s="204">
        <f t="shared" si="1"/>
        <v>31677202.665581126</v>
      </c>
      <c r="AH32" s="204">
        <f t="shared" si="1"/>
        <v>31677202.665581126</v>
      </c>
      <c r="AI32" s="204">
        <f t="shared" si="1"/>
        <v>31677202.665581126</v>
      </c>
      <c r="AJ32" s="204">
        <f t="shared" si="1"/>
        <v>34844922.93213924</v>
      </c>
      <c r="AK32" s="204">
        <f t="shared" si="1"/>
        <v>34844922.93213924</v>
      </c>
      <c r="AL32" s="204">
        <f t="shared" si="1"/>
        <v>34844922.93213924</v>
      </c>
      <c r="AM32" s="204">
        <f t="shared" si="1"/>
        <v>38329415.225353166</v>
      </c>
      <c r="AN32" s="204">
        <f t="shared" si="1"/>
        <v>38329415.225353166</v>
      </c>
      <c r="AO32" s="105">
        <f>SUM(J33:M33)+SUM(N32:AN32)</f>
        <v>814867944.21130097</v>
      </c>
    </row>
    <row r="33" spans="1:41" ht="14.45" customHeight="1">
      <c r="A33" s="145" t="s">
        <v>110</v>
      </c>
      <c r="B33" s="12"/>
      <c r="C33" s="7"/>
      <c r="D33" s="7"/>
      <c r="E33" s="7"/>
      <c r="F33" s="7"/>
      <c r="G33" s="7"/>
      <c r="H33" s="204">
        <f>H32</f>
        <v>13777941</v>
      </c>
      <c r="I33" s="204">
        <f>I32</f>
        <v>13777941</v>
      </c>
      <c r="J33" s="204">
        <f>J32+(H31+I31)</f>
        <v>14498211</v>
      </c>
      <c r="K33" s="204">
        <f>J33+J31</f>
        <v>15510831</v>
      </c>
      <c r="L33" s="204">
        <f>(K33*(1+L28))+K31</f>
        <v>18387899.100000001</v>
      </c>
      <c r="M33" s="204">
        <f>L33+L31</f>
        <v>18787714.100000001</v>
      </c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105"/>
    </row>
    <row r="34" spans="1:41" ht="14.45" customHeight="1">
      <c r="A34" s="145" t="s">
        <v>115</v>
      </c>
      <c r="B34" s="12"/>
      <c r="C34" s="7"/>
      <c r="D34" s="7"/>
      <c r="E34" s="7"/>
      <c r="F34" s="7"/>
      <c r="G34" s="7"/>
      <c r="H34" s="210">
        <f>H31/H32</f>
        <v>1.1342333371873198E-2</v>
      </c>
      <c r="I34" s="210">
        <f>(I31-H31)/I32</f>
        <v>2.9592375232264385E-2</v>
      </c>
      <c r="J34" s="210">
        <f t="shared" ref="J34:K34" si="2">(J31-I31)/J32</f>
        <v>3.2561033611626003E-2</v>
      </c>
      <c r="K34" s="210">
        <f t="shared" si="2"/>
        <v>2.2743964428356894E-2</v>
      </c>
      <c r="L34" s="210">
        <f>L31/L32</f>
        <v>2.3433185611923809E-2</v>
      </c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105"/>
    </row>
    <row r="35" spans="1:41" ht="14.45" customHeight="1">
      <c r="A35" s="145" t="s">
        <v>113</v>
      </c>
      <c r="B35" s="12"/>
      <c r="C35" s="7"/>
      <c r="D35" s="7"/>
      <c r="E35" s="7"/>
      <c r="F35" s="7"/>
      <c r="G35" s="7"/>
      <c r="H35" s="210">
        <f>H31/H32</f>
        <v>1.1342333371873198E-2</v>
      </c>
      <c r="I35" s="210">
        <f t="shared" ref="I35:L35" si="3">I31/I32</f>
        <v>4.0934708604137587E-2</v>
      </c>
      <c r="J35" s="210">
        <f t="shared" si="3"/>
        <v>7.349574221576359E-2</v>
      </c>
      <c r="K35" s="211">
        <f t="shared" si="3"/>
        <v>9.6239706644120487E-2</v>
      </c>
      <c r="L35" s="210">
        <f t="shared" si="3"/>
        <v>2.3433185611923809E-2</v>
      </c>
      <c r="M35" s="131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105"/>
    </row>
    <row r="36" spans="1:41">
      <c r="A36" s="135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</row>
    <row r="37" spans="1:41" ht="18.75">
      <c r="A37" s="93" t="s">
        <v>70</v>
      </c>
    </row>
    <row r="38" spans="1:41">
      <c r="A38" s="25" t="s">
        <v>61</v>
      </c>
      <c r="C38" s="24">
        <f>+C14</f>
        <v>4201775</v>
      </c>
      <c r="D38" s="24">
        <f>+D14</f>
        <v>3329794.65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</row>
    <row r="39" spans="1:41">
      <c r="A39" t="s">
        <v>62</v>
      </c>
      <c r="C39" s="1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</row>
    <row r="40" spans="1:41">
      <c r="A40" t="s">
        <v>60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</row>
    <row r="41" spans="1:41">
      <c r="A41" t="s">
        <v>12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</row>
    <row r="42" spans="1:41">
      <c r="A42" t="s">
        <v>63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73"/>
    </row>
    <row r="43" spans="1:41">
      <c r="A43" s="95" t="s">
        <v>13</v>
      </c>
      <c r="C43" s="24">
        <f>SUM(C38:C42)</f>
        <v>4201775</v>
      </c>
      <c r="D43" s="24">
        <f>SUM(D38:D42)</f>
        <v>3329794.65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</row>
    <row r="44" spans="1:41">
      <c r="A44" t="s">
        <v>9</v>
      </c>
      <c r="C44" s="19">
        <f>+C15</f>
        <v>527065</v>
      </c>
      <c r="D44" s="19">
        <f>+D15</f>
        <v>542876.94999999995</v>
      </c>
      <c r="E44" s="185">
        <f>D44+(D44*$B$3)</f>
        <v>559163.2585</v>
      </c>
      <c r="F44" s="185">
        <f t="shared" ref="F44:AN44" si="4">E44+(E44*$B$3)</f>
        <v>575938.15625500004</v>
      </c>
      <c r="G44" s="185">
        <f t="shared" si="4"/>
        <v>593216.30094265006</v>
      </c>
      <c r="H44" s="185">
        <f t="shared" si="4"/>
        <v>611012.78997092962</v>
      </c>
      <c r="I44" s="185">
        <f t="shared" si="4"/>
        <v>629343.17367005756</v>
      </c>
      <c r="J44" s="185">
        <f t="shared" si="4"/>
        <v>648223.46888015931</v>
      </c>
      <c r="K44" s="185">
        <f t="shared" si="4"/>
        <v>667670.17294656404</v>
      </c>
      <c r="L44" s="185">
        <f t="shared" si="4"/>
        <v>687700.27813496091</v>
      </c>
      <c r="M44" s="185">
        <f t="shared" si="4"/>
        <v>708331.28647900978</v>
      </c>
      <c r="N44" s="185">
        <f t="shared" si="4"/>
        <v>729581.22507338005</v>
      </c>
      <c r="O44" s="185">
        <f t="shared" si="4"/>
        <v>751468.66182558145</v>
      </c>
      <c r="P44" s="185">
        <f t="shared" si="4"/>
        <v>774012.72168034886</v>
      </c>
      <c r="Q44" s="185">
        <f t="shared" si="4"/>
        <v>797233.10333075933</v>
      </c>
      <c r="R44" s="185">
        <f t="shared" si="4"/>
        <v>821150.09643068211</v>
      </c>
      <c r="S44" s="185">
        <f t="shared" si="4"/>
        <v>845784.59932360263</v>
      </c>
      <c r="T44" s="185">
        <f t="shared" si="4"/>
        <v>871158.13730331068</v>
      </c>
      <c r="U44" s="185">
        <f t="shared" si="4"/>
        <v>897292.88142241002</v>
      </c>
      <c r="V44" s="185">
        <f t="shared" si="4"/>
        <v>924211.66786508227</v>
      </c>
      <c r="W44" s="185">
        <f t="shared" si="4"/>
        <v>951938.01790103479</v>
      </c>
      <c r="X44" s="185">
        <f t="shared" si="4"/>
        <v>980496.15843806579</v>
      </c>
      <c r="Y44" s="185">
        <f t="shared" si="4"/>
        <v>1009911.0431912078</v>
      </c>
      <c r="Z44" s="185">
        <f>Y44+(Y44*$B$3)</f>
        <v>1040208.3744869441</v>
      </c>
      <c r="AA44" s="185">
        <f t="shared" si="4"/>
        <v>1071414.6257215524</v>
      </c>
      <c r="AB44" s="185">
        <f t="shared" si="4"/>
        <v>1103557.0644931989</v>
      </c>
      <c r="AC44" s="185">
        <f t="shared" si="4"/>
        <v>1136663.7764279949</v>
      </c>
      <c r="AD44" s="185">
        <f t="shared" si="4"/>
        <v>1170763.6897208348</v>
      </c>
      <c r="AE44" s="185">
        <f t="shared" si="4"/>
        <v>1205886.6004124598</v>
      </c>
      <c r="AF44" s="185">
        <f t="shared" si="4"/>
        <v>1242063.1984248336</v>
      </c>
      <c r="AG44" s="185">
        <f t="shared" si="4"/>
        <v>1279325.0943775787</v>
      </c>
      <c r="AH44" s="185">
        <f t="shared" si="4"/>
        <v>1317704.847208906</v>
      </c>
      <c r="AI44" s="185">
        <f t="shared" si="4"/>
        <v>1357235.9926251732</v>
      </c>
      <c r="AJ44" s="185">
        <f t="shared" si="4"/>
        <v>1397953.0724039283</v>
      </c>
      <c r="AK44" s="185">
        <f t="shared" si="4"/>
        <v>1439891.6645760462</v>
      </c>
      <c r="AL44" s="185">
        <f t="shared" si="4"/>
        <v>1483088.4145133276</v>
      </c>
      <c r="AM44" s="185">
        <f t="shared" si="4"/>
        <v>1527581.0669487275</v>
      </c>
      <c r="AN44" s="185">
        <f t="shared" si="4"/>
        <v>1573408.4989571893</v>
      </c>
      <c r="AO44" s="8">
        <f>SUM(J44:AN44)</f>
        <v>32412909.501524854</v>
      </c>
    </row>
    <row r="45" spans="1:41">
      <c r="A45" t="s">
        <v>64</v>
      </c>
      <c r="C45" s="8">
        <f>328574</f>
        <v>328574</v>
      </c>
      <c r="D45" s="167">
        <f>C45+(C45*$B$3)</f>
        <v>338431.22</v>
      </c>
      <c r="E45" s="167">
        <f t="shared" ref="E45:AN45" si="5">D45+(D45*$B$3)</f>
        <v>348584.15659999999</v>
      </c>
      <c r="F45" s="167">
        <f t="shared" si="5"/>
        <v>359041.68129799998</v>
      </c>
      <c r="G45" s="167">
        <f t="shared" si="5"/>
        <v>369812.93173693999</v>
      </c>
      <c r="H45" s="167">
        <f t="shared" si="5"/>
        <v>380907.31968904822</v>
      </c>
      <c r="I45" s="167">
        <f t="shared" si="5"/>
        <v>392334.53927971964</v>
      </c>
      <c r="J45" s="167">
        <f t="shared" si="5"/>
        <v>404104.57545811124</v>
      </c>
      <c r="K45" s="167">
        <f t="shared" si="5"/>
        <v>416227.71272185456</v>
      </c>
      <c r="L45" s="167">
        <f t="shared" si="5"/>
        <v>428714.54410351021</v>
      </c>
      <c r="M45" s="167">
        <f t="shared" si="5"/>
        <v>441575.98042661551</v>
      </c>
      <c r="N45" s="167">
        <f t="shared" si="5"/>
        <v>454823.25983941398</v>
      </c>
      <c r="O45" s="167">
        <f t="shared" si="5"/>
        <v>468467.95763459639</v>
      </c>
      <c r="P45" s="167">
        <f t="shared" si="5"/>
        <v>482521.9963636343</v>
      </c>
      <c r="Q45" s="167">
        <f t="shared" si="5"/>
        <v>496997.65625454334</v>
      </c>
      <c r="R45" s="167">
        <f t="shared" si="5"/>
        <v>511907.58594217966</v>
      </c>
      <c r="S45" s="167">
        <f t="shared" si="5"/>
        <v>527264.81352044502</v>
      </c>
      <c r="T45" s="167">
        <f t="shared" si="5"/>
        <v>543082.75792605837</v>
      </c>
      <c r="U45" s="167">
        <f t="shared" si="5"/>
        <v>559375.24066384009</v>
      </c>
      <c r="V45" s="167">
        <f t="shared" si="5"/>
        <v>576156.49788375525</v>
      </c>
      <c r="W45" s="167">
        <f t="shared" si="5"/>
        <v>593441.19282026787</v>
      </c>
      <c r="X45" s="167">
        <f t="shared" si="5"/>
        <v>611244.42860487592</v>
      </c>
      <c r="Y45" s="167">
        <f t="shared" si="5"/>
        <v>629581.76146302221</v>
      </c>
      <c r="Z45" s="167">
        <f t="shared" si="5"/>
        <v>648469.21430691285</v>
      </c>
      <c r="AA45" s="167">
        <f t="shared" si="5"/>
        <v>667923.29073612019</v>
      </c>
      <c r="AB45" s="167">
        <f t="shared" si="5"/>
        <v>687960.98945820378</v>
      </c>
      <c r="AC45" s="167">
        <f t="shared" si="5"/>
        <v>708599.81914194988</v>
      </c>
      <c r="AD45" s="167">
        <f t="shared" si="5"/>
        <v>729857.81371620833</v>
      </c>
      <c r="AE45" s="167">
        <f t="shared" si="5"/>
        <v>751753.54812769452</v>
      </c>
      <c r="AF45" s="167">
        <f t="shared" si="5"/>
        <v>774306.1545715254</v>
      </c>
      <c r="AG45" s="167">
        <f t="shared" si="5"/>
        <v>797535.33920867112</v>
      </c>
      <c r="AH45" s="167">
        <f t="shared" si="5"/>
        <v>821461.39938493131</v>
      </c>
      <c r="AI45" s="167">
        <f t="shared" si="5"/>
        <v>846105.2413664792</v>
      </c>
      <c r="AJ45" s="167">
        <f t="shared" si="5"/>
        <v>871488.39860747359</v>
      </c>
      <c r="AK45" s="167">
        <f t="shared" si="5"/>
        <v>897633.05056569783</v>
      </c>
      <c r="AL45" s="167">
        <f t="shared" si="5"/>
        <v>924562.04208266875</v>
      </c>
      <c r="AM45" s="167">
        <f t="shared" si="5"/>
        <v>952298.90334514878</v>
      </c>
      <c r="AN45" s="167">
        <f t="shared" si="5"/>
        <v>980867.87044550327</v>
      </c>
      <c r="AO45" s="8">
        <f>SUM(J45:AN45)</f>
        <v>20206311.036691912</v>
      </c>
    </row>
    <row r="46" spans="1:41">
      <c r="A46" s="100"/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8"/>
    </row>
    <row r="47" spans="1:41">
      <c r="A47" s="11" t="s">
        <v>65</v>
      </c>
      <c r="B47" s="20">
        <v>0.03</v>
      </c>
    </row>
    <row r="48" spans="1:41">
      <c r="B48" s="20"/>
    </row>
    <row r="49" spans="1:41">
      <c r="A49" t="s">
        <v>57</v>
      </c>
      <c r="B49" s="2"/>
      <c r="G49" s="74">
        <v>3600000</v>
      </c>
      <c r="H49" s="74">
        <f>G49+(G49*$B$47)</f>
        <v>3708000</v>
      </c>
      <c r="I49" s="74">
        <f>H49+(H49*$B$47)</f>
        <v>3819240</v>
      </c>
      <c r="J49" s="167">
        <f>I49+(I49*$B$3)</f>
        <v>3933817.2</v>
      </c>
      <c r="K49" s="167">
        <f t="shared" ref="K49:AN49" si="6">J49+(J49*$B$3)</f>
        <v>4051831.716</v>
      </c>
      <c r="L49" s="167">
        <f t="shared" si="6"/>
        <v>4173386.6674799998</v>
      </c>
      <c r="M49" s="167">
        <f t="shared" si="6"/>
        <v>4298588.2675043996</v>
      </c>
      <c r="N49" s="167">
        <f t="shared" si="6"/>
        <v>4427545.9155295314</v>
      </c>
      <c r="O49" s="167">
        <f t="shared" si="6"/>
        <v>4560372.2929954175</v>
      </c>
      <c r="P49" s="167">
        <f t="shared" si="6"/>
        <v>4697183.4617852801</v>
      </c>
      <c r="Q49" s="167">
        <f t="shared" si="6"/>
        <v>4838098.9656388387</v>
      </c>
      <c r="R49" s="167">
        <f t="shared" si="6"/>
        <v>4983241.9346080041</v>
      </c>
      <c r="S49" s="167">
        <f t="shared" si="6"/>
        <v>5132739.1926462445</v>
      </c>
      <c r="T49" s="167">
        <f t="shared" si="6"/>
        <v>5286721.3684256319</v>
      </c>
      <c r="U49" s="167">
        <f t="shared" si="6"/>
        <v>5445323.0094784005</v>
      </c>
      <c r="V49" s="167">
        <f t="shared" si="6"/>
        <v>5608682.6997627523</v>
      </c>
      <c r="W49" s="167">
        <f t="shared" si="6"/>
        <v>5776943.1807556348</v>
      </c>
      <c r="X49" s="167">
        <f t="shared" si="6"/>
        <v>5950251.4761783034</v>
      </c>
      <c r="Y49" s="167">
        <f t="shared" si="6"/>
        <v>6128759.0204636529</v>
      </c>
      <c r="Z49" s="167">
        <f t="shared" si="6"/>
        <v>6312621.7910775626</v>
      </c>
      <c r="AA49" s="167">
        <f t="shared" si="6"/>
        <v>6502000.4448098894</v>
      </c>
      <c r="AB49" s="167">
        <f t="shared" si="6"/>
        <v>6697060.4581541857</v>
      </c>
      <c r="AC49" s="167">
        <f t="shared" si="6"/>
        <v>6897972.2718988117</v>
      </c>
      <c r="AD49" s="167">
        <f t="shared" si="6"/>
        <v>7104911.4400557764</v>
      </c>
      <c r="AE49" s="167">
        <f t="shared" si="6"/>
        <v>7318058.78325745</v>
      </c>
      <c r="AF49" s="167">
        <f t="shared" si="6"/>
        <v>7537600.5467551732</v>
      </c>
      <c r="AG49" s="167">
        <f t="shared" si="6"/>
        <v>7763728.5631578285</v>
      </c>
      <c r="AH49" s="167">
        <f t="shared" si="6"/>
        <v>7996640.4200525638</v>
      </c>
      <c r="AI49" s="167">
        <f t="shared" si="6"/>
        <v>8236539.6326541407</v>
      </c>
      <c r="AJ49" s="167">
        <f t="shared" si="6"/>
        <v>8483635.8216337655</v>
      </c>
      <c r="AK49" s="167">
        <f t="shared" si="6"/>
        <v>8738144.8962827791</v>
      </c>
      <c r="AL49" s="167">
        <f t="shared" si="6"/>
        <v>9000289.2431712616</v>
      </c>
      <c r="AM49" s="167">
        <f t="shared" si="6"/>
        <v>9270297.9204663988</v>
      </c>
      <c r="AN49" s="167">
        <f t="shared" si="6"/>
        <v>9548406.8580803908</v>
      </c>
      <c r="AO49" s="8">
        <f t="shared" ref="AO49:AO53" si="7">SUM(J49:AN49)</f>
        <v>196701395.46076006</v>
      </c>
    </row>
    <row r="50" spans="1:41">
      <c r="A50" t="s">
        <v>32</v>
      </c>
      <c r="I50" s="110"/>
      <c r="J50" s="7">
        <v>200000</v>
      </c>
      <c r="K50" s="7">
        <f>J50+(J50*$B$47)</f>
        <v>206000</v>
      </c>
      <c r="L50" s="7">
        <f t="shared" ref="L50:AN50" si="8">K50+(K50*$B$47)</f>
        <v>212180</v>
      </c>
      <c r="M50" s="7">
        <f t="shared" si="8"/>
        <v>218545.4</v>
      </c>
      <c r="N50" s="7">
        <f t="shared" si="8"/>
        <v>225101.76199999999</v>
      </c>
      <c r="O50" s="7">
        <f t="shared" si="8"/>
        <v>231854.81485999998</v>
      </c>
      <c r="P50" s="7">
        <f t="shared" si="8"/>
        <v>238810.45930579997</v>
      </c>
      <c r="Q50" s="7">
        <f t="shared" si="8"/>
        <v>245974.77308497397</v>
      </c>
      <c r="R50" s="7">
        <f t="shared" si="8"/>
        <v>253354.01627752319</v>
      </c>
      <c r="S50" s="7">
        <f t="shared" si="8"/>
        <v>260954.63676584887</v>
      </c>
      <c r="T50" s="7">
        <f t="shared" si="8"/>
        <v>268783.27586882433</v>
      </c>
      <c r="U50" s="7">
        <f t="shared" si="8"/>
        <v>276846.77414488909</v>
      </c>
      <c r="V50" s="7">
        <f t="shared" si="8"/>
        <v>285152.17736923578</v>
      </c>
      <c r="W50" s="7">
        <f t="shared" si="8"/>
        <v>293706.74269031285</v>
      </c>
      <c r="X50" s="7">
        <f t="shared" si="8"/>
        <v>302517.94497102225</v>
      </c>
      <c r="Y50" s="7">
        <f t="shared" si="8"/>
        <v>311593.48332015291</v>
      </c>
      <c r="Z50" s="7">
        <f t="shared" si="8"/>
        <v>320941.28781975748</v>
      </c>
      <c r="AA50" s="7">
        <f t="shared" si="8"/>
        <v>330569.52645435021</v>
      </c>
      <c r="AB50" s="7">
        <f t="shared" si="8"/>
        <v>340486.61224798072</v>
      </c>
      <c r="AC50" s="7">
        <f t="shared" si="8"/>
        <v>350701.21061542013</v>
      </c>
      <c r="AD50" s="7">
        <f t="shared" si="8"/>
        <v>361222.24693388271</v>
      </c>
      <c r="AE50" s="7">
        <f t="shared" si="8"/>
        <v>372058.91434189922</v>
      </c>
      <c r="AF50" s="7">
        <f t="shared" si="8"/>
        <v>383220.68177215621</v>
      </c>
      <c r="AG50" s="7">
        <f t="shared" si="8"/>
        <v>394717.30222532089</v>
      </c>
      <c r="AH50" s="7">
        <f t="shared" si="8"/>
        <v>406558.82129208051</v>
      </c>
      <c r="AI50" s="7">
        <f t="shared" si="8"/>
        <v>418755.58593084291</v>
      </c>
      <c r="AJ50" s="7">
        <f t="shared" si="8"/>
        <v>431318.25350876822</v>
      </c>
      <c r="AK50" s="7">
        <f t="shared" si="8"/>
        <v>444257.80111403129</v>
      </c>
      <c r="AL50" s="7">
        <f t="shared" si="8"/>
        <v>457585.5351474522</v>
      </c>
      <c r="AM50" s="7">
        <f t="shared" si="8"/>
        <v>471313.10120187578</v>
      </c>
      <c r="AN50" s="7">
        <f t="shared" si="8"/>
        <v>485452.49423793203</v>
      </c>
      <c r="AO50" s="8">
        <f>SUM(J50:AN50)</f>
        <v>10000535.635502335</v>
      </c>
    </row>
    <row r="51" spans="1:41">
      <c r="A51" t="s">
        <v>58</v>
      </c>
      <c r="I51" s="110"/>
      <c r="J51" s="110">
        <v>165000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8">
        <f t="shared" si="7"/>
        <v>165000</v>
      </c>
    </row>
    <row r="52" spans="1:41">
      <c r="A52" t="s">
        <v>59</v>
      </c>
      <c r="J52" s="110">
        <f>150000</f>
        <v>150000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8">
        <f t="shared" si="7"/>
        <v>150000</v>
      </c>
    </row>
    <row r="53" spans="1:41">
      <c r="A53" t="s">
        <v>31</v>
      </c>
      <c r="J53" s="110">
        <f>225000</f>
        <v>225000</v>
      </c>
      <c r="K53" s="7">
        <f>J53+(J53*$B$47)</f>
        <v>231750</v>
      </c>
      <c r="L53" s="7">
        <f t="shared" ref="L53:AN53" si="9">K53+(K53*$B$47)</f>
        <v>238702.5</v>
      </c>
      <c r="M53" s="7">
        <f t="shared" si="9"/>
        <v>245863.57500000001</v>
      </c>
      <c r="N53" s="7">
        <f t="shared" si="9"/>
        <v>253239.48225</v>
      </c>
      <c r="O53" s="7">
        <f t="shared" si="9"/>
        <v>260836.66671749999</v>
      </c>
      <c r="P53" s="7">
        <f t="shared" si="9"/>
        <v>268661.76671902498</v>
      </c>
      <c r="Q53" s="7">
        <f t="shared" si="9"/>
        <v>276721.61972059571</v>
      </c>
      <c r="R53" s="7">
        <f t="shared" si="9"/>
        <v>285023.26831221359</v>
      </c>
      <c r="S53" s="7">
        <f t="shared" si="9"/>
        <v>293573.96636158001</v>
      </c>
      <c r="T53" s="7">
        <f t="shared" si="9"/>
        <v>302381.18535242742</v>
      </c>
      <c r="U53" s="7">
        <f t="shared" si="9"/>
        <v>311452.62091300025</v>
      </c>
      <c r="V53" s="7">
        <f t="shared" si="9"/>
        <v>320796.19954039028</v>
      </c>
      <c r="W53" s="7">
        <f t="shared" si="9"/>
        <v>330420.08552660199</v>
      </c>
      <c r="X53" s="7">
        <f t="shared" si="9"/>
        <v>340332.68809240003</v>
      </c>
      <c r="Y53" s="7">
        <f t="shared" si="9"/>
        <v>350542.66873517202</v>
      </c>
      <c r="Z53" s="7">
        <f t="shared" si="9"/>
        <v>361058.94879722717</v>
      </c>
      <c r="AA53" s="7">
        <f t="shared" si="9"/>
        <v>371890.71726114396</v>
      </c>
      <c r="AB53" s="7">
        <f t="shared" si="9"/>
        <v>383047.43877897831</v>
      </c>
      <c r="AC53" s="7">
        <f t="shared" si="9"/>
        <v>394538.86194234766</v>
      </c>
      <c r="AD53" s="7">
        <f t="shared" si="9"/>
        <v>406375.02780061809</v>
      </c>
      <c r="AE53" s="7">
        <f t="shared" si="9"/>
        <v>418566.2786346366</v>
      </c>
      <c r="AF53" s="7">
        <f t="shared" si="9"/>
        <v>431123.26699367573</v>
      </c>
      <c r="AG53" s="7">
        <f t="shared" si="9"/>
        <v>444056.96500348602</v>
      </c>
      <c r="AH53" s="7">
        <f t="shared" si="9"/>
        <v>457378.67395359062</v>
      </c>
      <c r="AI53" s="7">
        <f t="shared" si="9"/>
        <v>471100.03417219833</v>
      </c>
      <c r="AJ53" s="7">
        <f t="shared" si="9"/>
        <v>485233.03519736428</v>
      </c>
      <c r="AK53" s="7">
        <f t="shared" si="9"/>
        <v>499790.02625328524</v>
      </c>
      <c r="AL53" s="7">
        <f t="shared" si="9"/>
        <v>514783.72704088379</v>
      </c>
      <c r="AM53" s="7">
        <f t="shared" si="9"/>
        <v>530227.23885211034</v>
      </c>
      <c r="AN53" s="7">
        <f t="shared" si="9"/>
        <v>546134.05601767369</v>
      </c>
      <c r="AO53" s="8">
        <f t="shared" si="7"/>
        <v>11250602.589940125</v>
      </c>
    </row>
    <row r="54" spans="1:41" ht="15" customHeight="1">
      <c r="A54" s="145" t="s">
        <v>10</v>
      </c>
      <c r="I54" s="22"/>
      <c r="J54" s="22">
        <f>SUM(J43:J53)</f>
        <v>5726145.2443382703</v>
      </c>
      <c r="K54" s="22">
        <f t="shared" ref="K54:AM54" si="10">SUM(K43:K53)</f>
        <v>5573479.6016684184</v>
      </c>
      <c r="L54" s="22">
        <f t="shared" si="10"/>
        <v>5740683.9897184707</v>
      </c>
      <c r="M54" s="22">
        <f t="shared" si="10"/>
        <v>5912904.5094100256</v>
      </c>
      <c r="N54" s="22">
        <f t="shared" si="10"/>
        <v>6090291.644692326</v>
      </c>
      <c r="O54" s="22">
        <f t="shared" si="10"/>
        <v>6273000.3940330958</v>
      </c>
      <c r="P54" s="22">
        <f t="shared" si="10"/>
        <v>6461190.4058540873</v>
      </c>
      <c r="Q54" s="22">
        <f t="shared" si="10"/>
        <v>6655026.1180297108</v>
      </c>
      <c r="R54" s="22">
        <f t="shared" si="10"/>
        <v>6854676.9015706023</v>
      </c>
      <c r="S54" s="22">
        <f t="shared" si="10"/>
        <v>7060317.2086177217</v>
      </c>
      <c r="T54" s="22">
        <f t="shared" si="10"/>
        <v>7272126.7248762529</v>
      </c>
      <c r="U54" s="22">
        <f t="shared" si="10"/>
        <v>7490290.5266225394</v>
      </c>
      <c r="V54" s="22">
        <f t="shared" si="10"/>
        <v>7714999.2424212163</v>
      </c>
      <c r="W54" s="22">
        <f t="shared" si="10"/>
        <v>7946449.2196938526</v>
      </c>
      <c r="X54" s="22">
        <f t="shared" si="10"/>
        <v>8184842.6962846676</v>
      </c>
      <c r="Y54" s="22">
        <f t="shared" si="10"/>
        <v>8430387.9771732073</v>
      </c>
      <c r="Z54" s="22">
        <f t="shared" si="10"/>
        <v>8683299.6164884046</v>
      </c>
      <c r="AA54" s="22">
        <f t="shared" si="10"/>
        <v>8943798.6049830578</v>
      </c>
      <c r="AB54" s="22">
        <f t="shared" si="10"/>
        <v>9212112.5631325468</v>
      </c>
      <c r="AC54" s="22">
        <f t="shared" si="10"/>
        <v>9488475.9400265235</v>
      </c>
      <c r="AD54" s="22">
        <f t="shared" si="10"/>
        <v>9773130.2182273194</v>
      </c>
      <c r="AE54" s="22">
        <f t="shared" si="10"/>
        <v>10066324.124774139</v>
      </c>
      <c r="AF54" s="22">
        <f t="shared" si="10"/>
        <v>10368313.848517364</v>
      </c>
      <c r="AG54" s="22">
        <f t="shared" si="10"/>
        <v>10679363.263972886</v>
      </c>
      <c r="AH54" s="22">
        <f t="shared" si="10"/>
        <v>10999744.161892071</v>
      </c>
      <c r="AI54" s="22">
        <f t="shared" si="10"/>
        <v>11329736.486748833</v>
      </c>
      <c r="AJ54" s="22">
        <f t="shared" si="10"/>
        <v>11669628.581351301</v>
      </c>
      <c r="AK54" s="22">
        <f t="shared" si="10"/>
        <v>12019717.438791839</v>
      </c>
      <c r="AL54" s="22">
        <f t="shared" si="10"/>
        <v>12380308.961955594</v>
      </c>
      <c r="AM54" s="22">
        <f t="shared" si="10"/>
        <v>12751718.230814259</v>
      </c>
      <c r="AN54" s="22">
        <f t="shared" ref="AN54" si="11">SUM(AN43:AN53)</f>
        <v>13134269.777738689</v>
      </c>
      <c r="AO54" s="24">
        <f>SUM(AO43:AO53)</f>
        <v>270886754.2244193</v>
      </c>
    </row>
    <row r="55" spans="1:41">
      <c r="A55" s="136"/>
      <c r="B55" s="135"/>
      <c r="C55" s="135"/>
      <c r="D55" s="135"/>
      <c r="E55" s="135"/>
      <c r="F55" s="135"/>
      <c r="G55" s="135"/>
      <c r="H55" s="135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5"/>
    </row>
    <row r="56" spans="1:41" ht="15.75">
      <c r="A56" s="102" t="s">
        <v>67</v>
      </c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1" ht="18.75">
      <c r="A57" s="32" t="s">
        <v>23</v>
      </c>
      <c r="B57" s="173">
        <f>'Affordability Variables'!C4</f>
        <v>107837567.1675</v>
      </c>
    </row>
    <row r="58" spans="1:41" ht="18.75">
      <c r="A58" s="32" t="s">
        <v>81</v>
      </c>
      <c r="B58" s="174">
        <f>'Affordability Variables'!C5</f>
        <v>2019</v>
      </c>
    </row>
    <row r="59" spans="1:41" ht="18.75">
      <c r="A59" s="32" t="s">
        <v>26</v>
      </c>
      <c r="B59" s="173">
        <f>'Affordability Variables'!C12</f>
        <v>3000000</v>
      </c>
    </row>
    <row r="60" spans="1:41" ht="18.75">
      <c r="A60" s="32" t="s">
        <v>25</v>
      </c>
      <c r="B60" s="173">
        <f>'Affordability Variables'!C16</f>
        <v>320000</v>
      </c>
    </row>
    <row r="61" spans="1:41" ht="18.75">
      <c r="A61" s="32" t="s">
        <v>28</v>
      </c>
      <c r="B61" s="173">
        <f>'Affordability Variables'!C17</f>
        <v>1170000</v>
      </c>
    </row>
    <row r="62" spans="1:41" ht="18.75">
      <c r="A62" s="32" t="s">
        <v>82</v>
      </c>
      <c r="B62" s="174">
        <f>'Affordability Variables'!C6</f>
        <v>2020</v>
      </c>
    </row>
    <row r="63" spans="1:41" ht="18.75">
      <c r="A63" s="32" t="s">
        <v>49</v>
      </c>
      <c r="B63" s="175">
        <f>'Affordability Variables'!C7</f>
        <v>3.7499999999999999E-2</v>
      </c>
    </row>
    <row r="64" spans="1:41" ht="18.75">
      <c r="A64" s="32" t="s">
        <v>51</v>
      </c>
      <c r="B64" s="176">
        <f>'Acquisition L-T Borrowing'!B4</f>
        <v>30</v>
      </c>
    </row>
    <row r="65" spans="1:41" ht="18.75">
      <c r="A65" s="32" t="s">
        <v>79</v>
      </c>
      <c r="B65" s="176" t="str">
        <f>IF(('Affordability Variables'!C9&gt;0),'Affordability Variables'!C9," ")</f>
        <v>X</v>
      </c>
      <c r="C65" s="186" t="s">
        <v>80</v>
      </c>
    </row>
    <row r="66" spans="1:41" ht="18.75">
      <c r="A66" s="32" t="s">
        <v>50</v>
      </c>
      <c r="B66" s="175">
        <f>'Affordability Variables'!C10</f>
        <v>2.2499999999999999E-2</v>
      </c>
    </row>
    <row r="67" spans="1:41" ht="18.75">
      <c r="A67" s="32" t="s">
        <v>52</v>
      </c>
      <c r="B67" s="176">
        <f>'Affordability Variables'!C11</f>
        <v>1</v>
      </c>
    </row>
    <row r="68" spans="1:41" ht="18.75">
      <c r="A68" s="114" t="s">
        <v>100</v>
      </c>
      <c r="B68" s="173">
        <f>B57+B59+B60+B61</f>
        <v>112327567.1675</v>
      </c>
    </row>
    <row r="69" spans="1:41" ht="15" customHeight="1">
      <c r="A69" s="168" t="s">
        <v>53</v>
      </c>
      <c r="J69" s="105" t="str">
        <f>IF(J70&gt;0," ",('Acquisition L-T Borrowing'!E7))</f>
        <v xml:space="preserve"> </v>
      </c>
      <c r="K69" s="150">
        <f>IF($J$70&gt;0,('Acquisition L-T Borrowing'!E7),('Acquisition L-T Borrowing'!E9))</f>
        <v>7956536.0076979166</v>
      </c>
      <c r="L69" s="105">
        <f>IF($J$70&gt;0,('Acquisition L-T Borrowing'!E9),('Acquisition L-T Borrowing'!E11))</f>
        <v>7816126.5487385411</v>
      </c>
      <c r="M69" s="105">
        <f>IF($J$70&gt;0,('Acquisition L-T Borrowing'!E11),('Acquisition L-T Borrowing'!E13))</f>
        <v>7675717.0897791665</v>
      </c>
      <c r="N69" s="105">
        <f>IF($J$70&gt;0,('Acquisition L-T Borrowing'!E13),('Acquisition L-T Borrowing'!E15))</f>
        <v>7535307.6308197919</v>
      </c>
      <c r="O69" s="105">
        <f>IF($J$70&gt;0,('Acquisition L-T Borrowing'!E15),('Acquisition L-T Borrowing'!E17))</f>
        <v>7394898.1718604174</v>
      </c>
      <c r="P69" s="105">
        <f>IF($J$70&gt;0,('Acquisition L-T Borrowing'!E17),('Acquisition L-T Borrowing'!E19))</f>
        <v>7254488.7129010418</v>
      </c>
      <c r="Q69" s="105">
        <f>IF($J$70&gt;0,('Acquisition L-T Borrowing'!E19),('Acquisition L-T Borrowing'!E21))</f>
        <v>7114079.2539416673</v>
      </c>
      <c r="R69" s="105">
        <f>IF($J$70&gt;0,('Acquisition L-T Borrowing'!E21),('Acquisition L-T Borrowing'!E23))</f>
        <v>6973669.7949822918</v>
      </c>
      <c r="S69" s="105">
        <f>IF($J$70&gt;0,('Acquisition L-T Borrowing'!E23),('Acquisition L-T Borrowing'!E25))</f>
        <v>6833260.3360229172</v>
      </c>
      <c r="T69" s="105">
        <f>IF($J$70&gt;0,('Acquisition L-T Borrowing'!E25),('Acquisition L-T Borrowing'!E27))</f>
        <v>6692850.8770635417</v>
      </c>
      <c r="U69" s="105">
        <f>IF($J$70&gt;0,('Acquisition L-T Borrowing'!E27),('Acquisition L-T Borrowing'!E29))</f>
        <v>6552441.4181041671</v>
      </c>
      <c r="V69" s="105">
        <f>IF($J$70&gt;0,('Acquisition L-T Borrowing'!E29),('Acquisition L-T Borrowing'!E31))</f>
        <v>6412031.9591447925</v>
      </c>
      <c r="W69" s="105">
        <f>IF($J$70&gt;0,('Acquisition L-T Borrowing'!E31),('Acquisition L-T Borrowing'!E33))</f>
        <v>6271622.500185417</v>
      </c>
      <c r="X69" s="105">
        <f>IF($J$70&gt;0,('Acquisition L-T Borrowing'!E33),('Acquisition L-T Borrowing'!E35))</f>
        <v>6131213.0412260424</v>
      </c>
      <c r="Y69" s="105">
        <f>IF($J$70&gt;0,('Acquisition L-T Borrowing'!E35),('Acquisition L-T Borrowing'!E37))</f>
        <v>5990803.5822666679</v>
      </c>
      <c r="Z69" s="105">
        <f>IF($J$70&gt;0,('Acquisition L-T Borrowing'!E37),('Acquisition L-T Borrowing'!E39))</f>
        <v>5850394.1233072923</v>
      </c>
      <c r="AA69" s="105">
        <f>IF($J$70&gt;0,('Acquisition L-T Borrowing'!E39),('Acquisition L-T Borrowing'!E41))</f>
        <v>5709984.6643479178</v>
      </c>
      <c r="AB69" s="105">
        <f>IF($J$70&gt;0,('Acquisition L-T Borrowing'!E41),('Acquisition L-T Borrowing'!E43))</f>
        <v>5569575.2053885423</v>
      </c>
      <c r="AC69" s="105">
        <f>IF($J$70&gt;0,('Acquisition L-T Borrowing'!E43),('Acquisition L-T Borrowing'!E45))</f>
        <v>5429165.7464291677</v>
      </c>
      <c r="AD69" s="105">
        <f>IF($J$70&gt;0,('Acquisition L-T Borrowing'!E45),(IF($B$64=20,0,('Acquisition L-T Borrowing'!E47))))</f>
        <v>5288756.0485531259</v>
      </c>
      <c r="AE69" s="105">
        <f>IF($J$70&gt;0,('Acquisition L-T Borrowing'!E47),(IF($B$64=20,0,('Acquisition L-T Borrowing'!E49))))</f>
        <v>5148346.6125000007</v>
      </c>
      <c r="AF69" s="105">
        <f>IF($J$70&gt;0,('Acquisition L-T Borrowing'!E49),(IF($B$64=20,0,('Acquisition L-T Borrowing'!E51))))</f>
        <v>5007937.1624999996</v>
      </c>
      <c r="AG69" s="105">
        <f>IF($J$70&gt;0,('Acquisition L-T Borrowing'!E51),(IF($B$64=20,0,('Acquisition L-T Borrowing'!E53))))</f>
        <v>4867527.7125000004</v>
      </c>
      <c r="AH69" s="105">
        <f>IF($J$70&gt;0,('Acquisition L-T Borrowing'!E53),(IF($B$64=20,0,('Acquisition L-T Borrowing'!E55))))</f>
        <v>4727118.2624999993</v>
      </c>
      <c r="AI69" s="105">
        <f>IF($J$70&gt;0,('Acquisition L-T Borrowing'!E55),(IF($B$64=20,0,('Acquisition L-T Borrowing'!E57))))</f>
        <v>4586708.8125</v>
      </c>
      <c r="AJ69" s="105">
        <f>IF($J$70&gt;0,('Acquisition L-T Borrowing'!E57),(IF($B$64=20,0,('Acquisition L-T Borrowing'!E59))))</f>
        <v>4446299.3624999998</v>
      </c>
      <c r="AK69" s="105">
        <f>IF($J$70&gt;0,('Acquisition L-T Borrowing'!E59),(IF($B$64=20,0,('Acquisition L-T Borrowing'!E61))))</f>
        <v>4305889.9124999996</v>
      </c>
      <c r="AL69" s="105">
        <f>IF($J$70&gt;0,('Acquisition L-T Borrowing'!E61),(IF($B$64=20,0,('Acquisition L-T Borrowing'!E63))))</f>
        <v>4165480.4625000004</v>
      </c>
      <c r="AM69" s="105">
        <f>IF($J$70&gt;0,('Acquisition L-T Borrowing'!E63),(IF($B$64=20,0,('Acquisition L-T Borrowing'!E65))))</f>
        <v>4025071.0125000002</v>
      </c>
      <c r="AN69" s="105">
        <f>IF($J$70&gt;0,('Acquisition L-T Borrowing'!E65),(IF($B$64=20,0,('Acquisition L-T Borrowing'!E67))))</f>
        <v>3884661.5625</v>
      </c>
      <c r="AO69" s="198">
        <f>SUM(J69:AN69)</f>
        <v>177617963.58776042</v>
      </c>
    </row>
    <row r="70" spans="1:41" ht="18.75">
      <c r="A70" s="168" t="s">
        <v>54</v>
      </c>
      <c r="B70" s="71"/>
      <c r="J70" s="148">
        <f>'Acquisition S-T Borrowing'!D9</f>
        <v>2527370.2612687498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O70" s="198">
        <f>IF(SUM(J70:AN70)=0," ",SUM(J70:AN70))</f>
        <v>2527370.2612687498</v>
      </c>
    </row>
    <row r="71" spans="1:41" ht="18.75">
      <c r="A71" s="26"/>
      <c r="B71" s="71"/>
    </row>
    <row r="72" spans="1:41" ht="15.75">
      <c r="A72" s="103" t="s">
        <v>29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</row>
    <row r="73" spans="1:41" ht="18.75">
      <c r="A73" s="32" t="s">
        <v>27</v>
      </c>
      <c r="B73" s="177">
        <f>'Affordability Variables'!C13</f>
        <v>2000000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146"/>
      <c r="AB73" s="146"/>
      <c r="AC73" s="146"/>
      <c r="AD73" s="147"/>
      <c r="AE73" s="147"/>
      <c r="AF73" s="147"/>
      <c r="AG73" s="147"/>
      <c r="AH73" s="147"/>
      <c r="AI73" s="147"/>
      <c r="AK73" s="147"/>
      <c r="AL73" s="147"/>
      <c r="AM73" s="147"/>
      <c r="AN73" s="147"/>
      <c r="AO73" s="148"/>
    </row>
    <row r="74" spans="1:41" ht="18.75">
      <c r="A74" s="32" t="s">
        <v>49</v>
      </c>
      <c r="B74" s="175">
        <f>'Affordability Variables'!C14</f>
        <v>3.2500000000000001E-2</v>
      </c>
      <c r="D74" s="34"/>
      <c r="E74" s="34"/>
      <c r="F74" s="34"/>
      <c r="G74" s="34"/>
      <c r="H74" s="34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</row>
    <row r="75" spans="1:41" ht="18.75">
      <c r="A75" s="32" t="s">
        <v>51</v>
      </c>
      <c r="B75" s="176">
        <f>'Annual Capex Borrowing'!B4</f>
        <v>20</v>
      </c>
    </row>
    <row r="76" spans="1:41">
      <c r="A76" s="169" t="s">
        <v>30</v>
      </c>
      <c r="B76" s="72"/>
      <c r="J76" s="22">
        <f>'Annual Capex Borrowing'!X69</f>
        <v>165000</v>
      </c>
      <c r="K76" s="22">
        <f>'Annual Capex Borrowing'!X70</f>
        <v>326750</v>
      </c>
      <c r="L76" s="22">
        <f>'Annual Capex Borrowing'!X71</f>
        <v>485250</v>
      </c>
      <c r="M76" s="22">
        <f>'Annual Capex Borrowing'!X72</f>
        <v>640500</v>
      </c>
      <c r="N76" s="22">
        <f>'Annual Capex Borrowing'!X73</f>
        <v>792500</v>
      </c>
      <c r="O76" s="22">
        <f>'Annual Capex Borrowing'!X74</f>
        <v>941250</v>
      </c>
      <c r="P76" s="22">
        <f>'Annual Capex Borrowing'!X75</f>
        <v>1086750</v>
      </c>
      <c r="Q76" s="22">
        <f>'Annual Capex Borrowing'!X76</f>
        <v>1229000</v>
      </c>
      <c r="R76" s="22">
        <f>'Annual Capex Borrowing'!X77</f>
        <v>1368000</v>
      </c>
      <c r="S76" s="22">
        <f>'Annual Capex Borrowing'!X78</f>
        <v>1503750</v>
      </c>
      <c r="T76" s="22">
        <f>'Annual Capex Borrowing'!X79</f>
        <v>1636250</v>
      </c>
      <c r="U76" s="22">
        <f>'Annual Capex Borrowing'!X80</f>
        <v>1765500</v>
      </c>
      <c r="V76" s="22">
        <f>'Annual Capex Borrowing'!X81</f>
        <v>1891500</v>
      </c>
      <c r="W76" s="22">
        <f>'Annual Capex Borrowing'!X82</f>
        <v>2014250</v>
      </c>
      <c r="X76" s="22">
        <f>'Annual Capex Borrowing'!X83</f>
        <v>2133750</v>
      </c>
      <c r="Y76" s="22">
        <f>'Annual Capex Borrowing'!X84</f>
        <v>2250000</v>
      </c>
      <c r="Z76" s="22">
        <f>'Annual Capex Borrowing'!X85</f>
        <v>2363000</v>
      </c>
      <c r="AA76" s="22">
        <f>'Annual Capex Borrowing'!X86</f>
        <v>2472750</v>
      </c>
      <c r="AB76" s="22">
        <f>'Annual Capex Borrowing'!X87</f>
        <v>2579250</v>
      </c>
      <c r="AC76" s="22">
        <f>'Annual Capex Borrowing'!X88</f>
        <v>2682500</v>
      </c>
      <c r="AD76" s="22">
        <f>'Annual Capex Borrowing'!X89</f>
        <v>2682500</v>
      </c>
      <c r="AE76" s="22">
        <f>'Annual Capex Borrowing'!X89</f>
        <v>2682500</v>
      </c>
      <c r="AF76" s="22">
        <f>'Annual Capex Borrowing'!X89</f>
        <v>2682500</v>
      </c>
      <c r="AG76" s="22">
        <f>'Annual Capex Borrowing'!X89</f>
        <v>2682500</v>
      </c>
      <c r="AH76" s="22">
        <f>'Annual Capex Borrowing'!X89</f>
        <v>2682500</v>
      </c>
      <c r="AI76" s="22">
        <f>'Annual Capex Borrowing'!X89</f>
        <v>2682500</v>
      </c>
      <c r="AJ76" s="22">
        <f>'Annual Capex Borrowing'!X89</f>
        <v>2682500</v>
      </c>
      <c r="AK76" s="22">
        <f>'Annual Capex Borrowing'!X89</f>
        <v>2682500</v>
      </c>
      <c r="AL76" s="22">
        <f>'Annual Capex Borrowing'!X89</f>
        <v>2682500</v>
      </c>
      <c r="AM76" s="22">
        <f>'Annual Capex Borrowing'!X89</f>
        <v>2682500</v>
      </c>
      <c r="AN76" s="22">
        <f>'Annual Capex Borrowing'!X89</f>
        <v>2682500</v>
      </c>
      <c r="AO76" s="198">
        <f>SUM(J76:AN76)</f>
        <v>59835000</v>
      </c>
    </row>
    <row r="77" spans="1:41"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</row>
    <row r="78" spans="1:41">
      <c r="A78" s="145" t="s">
        <v>55</v>
      </c>
      <c r="I78" s="27"/>
      <c r="J78" s="27">
        <f>SUM(J69:J76)</f>
        <v>2692370.2612687498</v>
      </c>
      <c r="K78" s="27">
        <f t="shared" ref="K78:AM78" si="12">SUM(K69:K76)</f>
        <v>8283286.0076979166</v>
      </c>
      <c r="L78" s="27">
        <f t="shared" si="12"/>
        <v>8301376.5487385411</v>
      </c>
      <c r="M78" s="27">
        <f t="shared" si="12"/>
        <v>8316217.0897791665</v>
      </c>
      <c r="N78" s="27">
        <f t="shared" si="12"/>
        <v>8327807.6308197919</v>
      </c>
      <c r="O78" s="27">
        <f t="shared" si="12"/>
        <v>8336148.1718604174</v>
      </c>
      <c r="P78" s="27">
        <f t="shared" si="12"/>
        <v>8341238.7129010418</v>
      </c>
      <c r="Q78" s="27">
        <f t="shared" si="12"/>
        <v>8343079.2539416673</v>
      </c>
      <c r="R78" s="27">
        <f t="shared" si="12"/>
        <v>8341669.7949822918</v>
      </c>
      <c r="S78" s="27">
        <f t="shared" si="12"/>
        <v>8337010.3360229172</v>
      </c>
      <c r="T78" s="27">
        <f t="shared" si="12"/>
        <v>8329100.8770635417</v>
      </c>
      <c r="U78" s="27">
        <f t="shared" si="12"/>
        <v>8317941.4181041671</v>
      </c>
      <c r="V78" s="27">
        <f t="shared" si="12"/>
        <v>8303531.9591447925</v>
      </c>
      <c r="W78" s="27">
        <f t="shared" si="12"/>
        <v>8285872.500185417</v>
      </c>
      <c r="X78" s="27">
        <f t="shared" si="12"/>
        <v>8264963.0412260424</v>
      </c>
      <c r="Y78" s="27">
        <f t="shared" si="12"/>
        <v>8240803.5822666679</v>
      </c>
      <c r="Z78" s="27">
        <f t="shared" si="12"/>
        <v>8213394.1233072923</v>
      </c>
      <c r="AA78" s="27">
        <f t="shared" si="12"/>
        <v>8182734.6643479178</v>
      </c>
      <c r="AB78" s="27">
        <f t="shared" si="12"/>
        <v>8148825.2053885423</v>
      </c>
      <c r="AC78" s="27">
        <f t="shared" si="12"/>
        <v>8111665.7464291677</v>
      </c>
      <c r="AD78" s="27">
        <f t="shared" si="12"/>
        <v>7971256.0485531259</v>
      </c>
      <c r="AE78" s="27">
        <f t="shared" si="12"/>
        <v>7830846.6125000007</v>
      </c>
      <c r="AF78" s="27">
        <f t="shared" si="12"/>
        <v>7690437.1624999996</v>
      </c>
      <c r="AG78" s="27">
        <f t="shared" si="12"/>
        <v>7550027.7125000004</v>
      </c>
      <c r="AH78" s="27">
        <f t="shared" si="12"/>
        <v>7409618.2624999993</v>
      </c>
      <c r="AI78" s="27">
        <f t="shared" si="12"/>
        <v>7269208.8125</v>
      </c>
      <c r="AJ78" s="27">
        <f t="shared" si="12"/>
        <v>7128799.3624999998</v>
      </c>
      <c r="AK78" s="27">
        <f t="shared" si="12"/>
        <v>6988389.9124999996</v>
      </c>
      <c r="AL78" s="27">
        <f t="shared" si="12"/>
        <v>6847980.4625000004</v>
      </c>
      <c r="AM78" s="27">
        <f t="shared" si="12"/>
        <v>6707571.0125000002</v>
      </c>
      <c r="AN78" s="27">
        <f t="shared" ref="AN78" si="13">SUM(AN69:AN76)</f>
        <v>6567161.5625</v>
      </c>
      <c r="AO78" s="27">
        <f>SUM(AO69:AO76)</f>
        <v>239980333.84902918</v>
      </c>
    </row>
    <row r="79" spans="1:41">
      <c r="A79" s="100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116"/>
      <c r="AC79" s="116"/>
    </row>
    <row r="80" spans="1:41" ht="18.75">
      <c r="A80" s="143" t="s">
        <v>11</v>
      </c>
      <c r="I80" s="104"/>
      <c r="J80" s="104">
        <f t="shared" ref="J80:AN80" si="14">+J54+J78</f>
        <v>8418515.5056070201</v>
      </c>
      <c r="K80" s="104">
        <f t="shared" si="14"/>
        <v>13856765.609366335</v>
      </c>
      <c r="L80" s="104">
        <f t="shared" si="14"/>
        <v>14042060.538457012</v>
      </c>
      <c r="M80" s="104">
        <f t="shared" si="14"/>
        <v>14229121.599189192</v>
      </c>
      <c r="N80" s="104">
        <f t="shared" si="14"/>
        <v>14418099.275512118</v>
      </c>
      <c r="O80" s="104">
        <f>+O54+O78</f>
        <v>14609148.565893512</v>
      </c>
      <c r="P80" s="104">
        <f t="shared" si="14"/>
        <v>14802429.118755128</v>
      </c>
      <c r="Q80" s="104">
        <f t="shared" si="14"/>
        <v>14998105.371971378</v>
      </c>
      <c r="R80" s="104">
        <f t="shared" si="14"/>
        <v>15196346.696552895</v>
      </c>
      <c r="S80" s="104">
        <f t="shared" si="14"/>
        <v>15397327.544640638</v>
      </c>
      <c r="T80" s="104">
        <f t="shared" si="14"/>
        <v>15601227.601939794</v>
      </c>
      <c r="U80" s="104">
        <f t="shared" si="14"/>
        <v>15808231.944726706</v>
      </c>
      <c r="V80" s="104">
        <f t="shared" si="14"/>
        <v>16018531.201566009</v>
      </c>
      <c r="W80" s="104">
        <f t="shared" si="14"/>
        <v>16232321.71987927</v>
      </c>
      <c r="X80" s="104">
        <f t="shared" si="14"/>
        <v>16449805.737510711</v>
      </c>
      <c r="Y80" s="104">
        <f t="shared" si="14"/>
        <v>16671191.559439875</v>
      </c>
      <c r="Z80" s="104">
        <f t="shared" si="14"/>
        <v>16896693.739795696</v>
      </c>
      <c r="AA80" s="104">
        <f t="shared" si="14"/>
        <v>17126533.269330975</v>
      </c>
      <c r="AB80" s="104">
        <f t="shared" si="14"/>
        <v>17360937.768521089</v>
      </c>
      <c r="AC80" s="104">
        <f t="shared" si="14"/>
        <v>17600141.686455689</v>
      </c>
      <c r="AD80" s="104">
        <f t="shared" si="14"/>
        <v>17744386.266780443</v>
      </c>
      <c r="AE80" s="104">
        <f t="shared" si="14"/>
        <v>17897170.73727414</v>
      </c>
      <c r="AF80" s="104">
        <f t="shared" si="14"/>
        <v>18058751.011017364</v>
      </c>
      <c r="AG80" s="104">
        <f t="shared" si="14"/>
        <v>18229390.976472884</v>
      </c>
      <c r="AH80" s="104">
        <f t="shared" si="14"/>
        <v>18409362.424392071</v>
      </c>
      <c r="AI80" s="104">
        <f t="shared" si="14"/>
        <v>18598945.299248833</v>
      </c>
      <c r="AJ80" s="104">
        <f t="shared" si="14"/>
        <v>18798427.9438513</v>
      </c>
      <c r="AK80" s="104">
        <f t="shared" si="14"/>
        <v>19008107.351291839</v>
      </c>
      <c r="AL80" s="104">
        <f t="shared" si="14"/>
        <v>19228289.424455594</v>
      </c>
      <c r="AM80" s="104">
        <f t="shared" si="14"/>
        <v>19459289.243314259</v>
      </c>
      <c r="AN80" s="104">
        <f t="shared" si="14"/>
        <v>19701431.34023869</v>
      </c>
      <c r="AO80" s="104">
        <f>+AO54+AO78</f>
        <v>510867088.07344848</v>
      </c>
    </row>
    <row r="81" spans="1:41">
      <c r="A81" t="s">
        <v>118</v>
      </c>
      <c r="I81" s="23"/>
      <c r="J81" s="23"/>
      <c r="K81" s="23">
        <f>(K80-J80)/J80</f>
        <v>0.64598682512816585</v>
      </c>
      <c r="L81" s="23">
        <f t="shared" ref="L81:AN81" si="15">(L80-K80)/K80</f>
        <v>1.3372163051197797E-2</v>
      </c>
      <c r="M81" s="23">
        <f t="shared" si="15"/>
        <v>1.332148228672536E-2</v>
      </c>
      <c r="N81" s="23">
        <f t="shared" si="15"/>
        <v>1.3281050063813792E-2</v>
      </c>
      <c r="O81" s="23">
        <f t="shared" si="15"/>
        <v>1.3250657158802815E-2</v>
      </c>
      <c r="P81" s="23">
        <f t="shared" si="15"/>
        <v>1.3230103861962796E-2</v>
      </c>
      <c r="Q81" s="23">
        <f t="shared" si="15"/>
        <v>1.3219198798143346E-2</v>
      </c>
      <c r="R81" s="23">
        <f t="shared" si="15"/>
        <v>1.3217757821064016E-2</v>
      </c>
      <c r="S81" s="23">
        <f t="shared" si="15"/>
        <v>1.3225602975571292E-2</v>
      </c>
      <c r="T81" s="23">
        <f t="shared" si="15"/>
        <v>1.3242561522965551E-2</v>
      </c>
      <c r="U81" s="23">
        <f t="shared" si="15"/>
        <v>1.3268465025224925E-2</v>
      </c>
      <c r="V81" s="23">
        <f t="shared" si="15"/>
        <v>1.3303148484575134E-2</v>
      </c>
      <c r="W81" s="23">
        <f t="shared" si="15"/>
        <v>1.3346449535420581E-2</v>
      </c>
      <c r="X81" s="23">
        <f t="shared" si="15"/>
        <v>1.3398207686155874E-2</v>
      </c>
      <c r="Y81" s="23">
        <f t="shared" si="15"/>
        <v>1.3458263608811817E-2</v>
      </c>
      <c r="Z81" s="23">
        <f t="shared" si="15"/>
        <v>1.3526458474897238E-2</v>
      </c>
      <c r="AA81" s="23">
        <f t="shared" si="15"/>
        <v>1.3602633336127316E-2</v>
      </c>
      <c r="AB81" s="23">
        <f t="shared" si="15"/>
        <v>1.3686628549040335E-2</v>
      </c>
      <c r="AC81" s="23">
        <f t="shared" si="15"/>
        <v>1.3778283242759249E-2</v>
      </c>
      <c r="AD81" s="23">
        <f t="shared" si="15"/>
        <v>8.1956488132000974E-3</v>
      </c>
      <c r="AE81" s="23">
        <f t="shared" si="15"/>
        <v>8.6102989529554443E-3</v>
      </c>
      <c r="AF81" s="23">
        <f t="shared" si="15"/>
        <v>9.028257936138635E-3</v>
      </c>
      <c r="AG81" s="23">
        <f t="shared" si="15"/>
        <v>9.4491565530426831E-3</v>
      </c>
      <c r="AH81" s="23">
        <f t="shared" si="15"/>
        <v>9.8725979464404472E-3</v>
      </c>
      <c r="AI81" s="23">
        <f t="shared" si="15"/>
        <v>1.0298177116963526E-2</v>
      </c>
      <c r="AJ81" s="23">
        <f t="shared" si="15"/>
        <v>1.0725481547091974E-2</v>
      </c>
      <c r="AK81" s="23">
        <f t="shared" si="15"/>
        <v>1.1154092675559215E-2</v>
      </c>
      <c r="AL81" s="23">
        <f t="shared" si="15"/>
        <v>1.1583587418491253E-2</v>
      </c>
      <c r="AM81" s="23">
        <f t="shared" si="15"/>
        <v>1.2013539725736926E-2</v>
      </c>
      <c r="AN81" s="23">
        <f t="shared" si="15"/>
        <v>1.2443522160380333E-2</v>
      </c>
    </row>
    <row r="82" spans="1:41">
      <c r="A82" s="135"/>
      <c r="B82" s="135"/>
      <c r="C82" s="135"/>
      <c r="D82" s="135"/>
      <c r="E82" s="135"/>
      <c r="F82" s="135"/>
      <c r="G82" s="135"/>
      <c r="H82" s="135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5"/>
    </row>
    <row r="83" spans="1:41">
      <c r="A83" s="145" t="s">
        <v>104</v>
      </c>
      <c r="B83" s="100"/>
      <c r="I83" s="8"/>
      <c r="J83" s="99">
        <f t="shared" ref="J83:AO83" si="16">J29-J80</f>
        <v>5359425.4943929799</v>
      </c>
      <c r="K83" s="99">
        <f t="shared" si="16"/>
        <v>-78824.609366334975</v>
      </c>
      <c r="L83" s="99">
        <f t="shared" si="16"/>
        <v>1113674.5615429878</v>
      </c>
      <c r="M83" s="99">
        <f t="shared" si="16"/>
        <v>926613.50081080757</v>
      </c>
      <c r="N83" s="99">
        <f t="shared" si="16"/>
        <v>737635.82448788173</v>
      </c>
      <c r="O83" s="99">
        <f t="shared" si="16"/>
        <v>2062160.0441064872</v>
      </c>
      <c r="P83" s="99">
        <f t="shared" si="16"/>
        <v>1868879.4912448712</v>
      </c>
      <c r="Q83" s="99">
        <f t="shared" si="16"/>
        <v>1673203.2380286213</v>
      </c>
      <c r="R83" s="99">
        <f t="shared" si="16"/>
        <v>3142092.7744471058</v>
      </c>
      <c r="S83" s="99">
        <f t="shared" si="16"/>
        <v>2941111.9263593629</v>
      </c>
      <c r="T83" s="99">
        <f t="shared" si="16"/>
        <v>2737211.8690602072</v>
      </c>
      <c r="U83" s="99">
        <f t="shared" si="16"/>
        <v>4364051.4733732939</v>
      </c>
      <c r="V83" s="99">
        <f t="shared" si="16"/>
        <v>4153752.2165339906</v>
      </c>
      <c r="W83" s="99">
        <f t="shared" si="16"/>
        <v>3939961.6982207298</v>
      </c>
      <c r="X83" s="99">
        <f t="shared" si="16"/>
        <v>5739706.0223992877</v>
      </c>
      <c r="Y83" s="99">
        <f t="shared" si="16"/>
        <v>5518320.2004701234</v>
      </c>
      <c r="Z83" s="99">
        <f t="shared" si="16"/>
        <v>5292818.0201143026</v>
      </c>
      <c r="AA83" s="99">
        <f t="shared" si="16"/>
        <v>3203634.5665700249</v>
      </c>
      <c r="AB83" s="99">
        <f t="shared" si="16"/>
        <v>2969230.0673799105</v>
      </c>
      <c r="AC83" s="99">
        <f t="shared" si="16"/>
        <v>2730026.1494453102</v>
      </c>
      <c r="AD83" s="99">
        <f t="shared" si="16"/>
        <v>4618798.3527106568</v>
      </c>
      <c r="AE83" s="99">
        <f t="shared" si="16"/>
        <v>4466013.8822169602</v>
      </c>
      <c r="AF83" s="99">
        <f t="shared" si="16"/>
        <v>4304433.6084737368</v>
      </c>
      <c r="AG83" s="99">
        <f t="shared" si="16"/>
        <v>6370112.1049673259</v>
      </c>
      <c r="AH83" s="99">
        <f t="shared" si="16"/>
        <v>6190140.6570481397</v>
      </c>
      <c r="AI83" s="99">
        <f t="shared" si="16"/>
        <v>6000557.7821913771</v>
      </c>
      <c r="AJ83" s="99">
        <f t="shared" si="16"/>
        <v>8261025.4457329325</v>
      </c>
      <c r="AK83" s="99">
        <f t="shared" si="16"/>
        <v>8051346.0382923931</v>
      </c>
      <c r="AL83" s="99">
        <f t="shared" si="16"/>
        <v>7831163.9651286379</v>
      </c>
      <c r="AM83" s="99">
        <f t="shared" si="16"/>
        <v>10306109.485228397</v>
      </c>
      <c r="AN83" s="99">
        <f t="shared" si="16"/>
        <v>10063967.388303965</v>
      </c>
      <c r="AO83" s="188">
        <f t="shared" si="16"/>
        <v>136858353.2399165</v>
      </c>
    </row>
    <row r="84" spans="1:41">
      <c r="A84" s="145" t="s">
        <v>111</v>
      </c>
      <c r="B84" s="100"/>
      <c r="I84" s="8"/>
      <c r="J84" s="99">
        <f>I83+J83</f>
        <v>5359425.4943929799</v>
      </c>
      <c r="K84" s="99">
        <f>J84+K83</f>
        <v>5280600.8850266449</v>
      </c>
      <c r="L84" s="99">
        <f t="shared" ref="L84:AM84" si="17">K84+L83</f>
        <v>6394275.4465696327</v>
      </c>
      <c r="M84" s="99">
        <f t="shared" si="17"/>
        <v>7320888.9473804403</v>
      </c>
      <c r="N84" s="99">
        <f t="shared" si="17"/>
        <v>8058524.771868322</v>
      </c>
      <c r="O84" s="99">
        <f t="shared" si="17"/>
        <v>10120684.815974809</v>
      </c>
      <c r="P84" s="99">
        <f t="shared" si="17"/>
        <v>11989564.30721968</v>
      </c>
      <c r="Q84" s="99">
        <f t="shared" si="17"/>
        <v>13662767.545248302</v>
      </c>
      <c r="R84" s="99">
        <f t="shared" si="17"/>
        <v>16804860.319695406</v>
      </c>
      <c r="S84" s="99">
        <f t="shared" si="17"/>
        <v>19745972.246054769</v>
      </c>
      <c r="T84" s="99">
        <f t="shared" si="17"/>
        <v>22483184.115114976</v>
      </c>
      <c r="U84" s="99">
        <f t="shared" si="17"/>
        <v>26847235.58848827</v>
      </c>
      <c r="V84" s="99">
        <f t="shared" si="17"/>
        <v>31000987.805022262</v>
      </c>
      <c r="W84" s="99">
        <f t="shared" si="17"/>
        <v>34940949.503242992</v>
      </c>
      <c r="X84" s="99">
        <f t="shared" si="17"/>
        <v>40680655.525642276</v>
      </c>
      <c r="Y84" s="99">
        <f t="shared" si="17"/>
        <v>46198975.726112396</v>
      </c>
      <c r="Z84" s="99">
        <f t="shared" si="17"/>
        <v>51491793.746226698</v>
      </c>
      <c r="AA84" s="99">
        <f t="shared" si="17"/>
        <v>54695428.312796727</v>
      </c>
      <c r="AB84" s="99">
        <f t="shared" si="17"/>
        <v>57664658.380176634</v>
      </c>
      <c r="AC84" s="99">
        <f t="shared" si="17"/>
        <v>60394684.529621944</v>
      </c>
      <c r="AD84" s="99">
        <f t="shared" si="17"/>
        <v>65013482.882332601</v>
      </c>
      <c r="AE84" s="99">
        <f t="shared" si="17"/>
        <v>69479496.764549553</v>
      </c>
      <c r="AF84" s="99">
        <f t="shared" si="17"/>
        <v>73783930.373023286</v>
      </c>
      <c r="AG84" s="99">
        <f t="shared" si="17"/>
        <v>80154042.477990612</v>
      </c>
      <c r="AH84" s="99">
        <f t="shared" si="17"/>
        <v>86344183.135038748</v>
      </c>
      <c r="AI84" s="99">
        <f t="shared" si="17"/>
        <v>92344740.917230129</v>
      </c>
      <c r="AJ84" s="99">
        <f t="shared" si="17"/>
        <v>100605766.36296307</v>
      </c>
      <c r="AK84" s="99">
        <f t="shared" si="17"/>
        <v>108657112.40125546</v>
      </c>
      <c r="AL84" s="99">
        <f t="shared" si="17"/>
        <v>116488276.36638409</v>
      </c>
      <c r="AM84" s="99">
        <f t="shared" si="17"/>
        <v>126794385.85161248</v>
      </c>
      <c r="AN84" s="188">
        <f>AM84+AN83</f>
        <v>136858353.23991644</v>
      </c>
      <c r="AO84" s="191"/>
    </row>
    <row r="85" spans="1:41">
      <c r="A85" s="145"/>
      <c r="B85" s="100"/>
      <c r="I85" s="8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190" t="s">
        <v>99</v>
      </c>
      <c r="AO85" s="192">
        <f>SUM(J83:AN83)</f>
        <v>136858353.23991644</v>
      </c>
    </row>
    <row r="86" spans="1:41">
      <c r="A86" s="145"/>
      <c r="B86" s="205"/>
      <c r="C86" s="205"/>
      <c r="D86" s="205"/>
      <c r="E86" s="205"/>
      <c r="F86" s="205"/>
      <c r="G86" s="205"/>
      <c r="H86" s="205"/>
      <c r="I86" s="206"/>
      <c r="J86" s="207"/>
      <c r="K86" s="207"/>
      <c r="L86" s="207"/>
      <c r="M86" s="207"/>
      <c r="N86" s="207"/>
      <c r="O86" s="207"/>
      <c r="P86" s="207"/>
      <c r="Q86" s="207"/>
      <c r="R86" s="207"/>
      <c r="S86" s="207"/>
      <c r="T86" s="207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08"/>
      <c r="AO86" s="209"/>
    </row>
    <row r="87" spans="1:41">
      <c r="A87" s="145" t="s">
        <v>106</v>
      </c>
      <c r="B87" s="100"/>
      <c r="I87" s="8"/>
      <c r="J87" s="99">
        <f>J33-J80</f>
        <v>6079695.4943929799</v>
      </c>
      <c r="K87" s="99">
        <f t="shared" ref="K87:M87" si="18">K33-K80</f>
        <v>1654065.390633665</v>
      </c>
      <c r="L87" s="99">
        <f t="shared" si="18"/>
        <v>4345838.5615429897</v>
      </c>
      <c r="M87" s="99">
        <f t="shared" si="18"/>
        <v>4558592.5008108094</v>
      </c>
      <c r="N87" s="99">
        <f t="shared" ref="N87:AO87" si="19">N32-N80</f>
        <v>4369614.8244878836</v>
      </c>
      <c r="O87" s="99">
        <f t="shared" si="19"/>
        <v>6057336.9441064894</v>
      </c>
      <c r="P87" s="99">
        <f t="shared" si="19"/>
        <v>5864056.3912448734</v>
      </c>
      <c r="Q87" s="99">
        <f t="shared" si="19"/>
        <v>5668380.1380286235</v>
      </c>
      <c r="R87" s="99">
        <f t="shared" si="19"/>
        <v>7536787.3644471094</v>
      </c>
      <c r="S87" s="99">
        <f t="shared" si="19"/>
        <v>7335806.5163593665</v>
      </c>
      <c r="T87" s="99">
        <f t="shared" si="19"/>
        <v>7131906.4590602107</v>
      </c>
      <c r="U87" s="99">
        <f t="shared" si="19"/>
        <v>9198215.5223733</v>
      </c>
      <c r="V87" s="99">
        <f t="shared" si="19"/>
        <v>8987916.2655339967</v>
      </c>
      <c r="W87" s="99">
        <f t="shared" si="19"/>
        <v>8774125.747220736</v>
      </c>
      <c r="X87" s="99">
        <f t="shared" si="19"/>
        <v>11057286.476299297</v>
      </c>
      <c r="Y87" s="99">
        <f t="shared" si="19"/>
        <v>10835900.654370133</v>
      </c>
      <c r="Z87" s="99">
        <f t="shared" si="19"/>
        <v>10610398.474014312</v>
      </c>
      <c r="AA87" s="99">
        <f t="shared" si="19"/>
        <v>9052973.0658600368</v>
      </c>
      <c r="AB87" s="99">
        <f t="shared" si="19"/>
        <v>8818568.5666699223</v>
      </c>
      <c r="AC87" s="99">
        <f t="shared" si="19"/>
        <v>8579364.6487353221</v>
      </c>
      <c r="AD87" s="99">
        <f t="shared" si="19"/>
        <v>11053070.70192967</v>
      </c>
      <c r="AE87" s="99">
        <f t="shared" si="19"/>
        <v>10900286.231435973</v>
      </c>
      <c r="AF87" s="99">
        <f t="shared" si="19"/>
        <v>10738705.95769275</v>
      </c>
      <c r="AG87" s="99">
        <f t="shared" si="19"/>
        <v>13447811.689108241</v>
      </c>
      <c r="AH87" s="99">
        <f t="shared" si="19"/>
        <v>13267840.241189055</v>
      </c>
      <c r="AI87" s="99">
        <f t="shared" si="19"/>
        <v>13078257.366332293</v>
      </c>
      <c r="AJ87" s="99">
        <f t="shared" si="19"/>
        <v>16046494.988287941</v>
      </c>
      <c r="AK87" s="99">
        <f t="shared" si="19"/>
        <v>15836815.580847401</v>
      </c>
      <c r="AL87" s="99">
        <f t="shared" si="19"/>
        <v>15616633.507683646</v>
      </c>
      <c r="AM87" s="99">
        <f t="shared" si="19"/>
        <v>18870125.982038908</v>
      </c>
      <c r="AN87" s="99">
        <f t="shared" si="19"/>
        <v>18627983.885114476</v>
      </c>
      <c r="AO87" s="188">
        <f t="shared" si="19"/>
        <v>304000856.13785249</v>
      </c>
    </row>
    <row r="88" spans="1:41">
      <c r="A88" s="145" t="s">
        <v>112</v>
      </c>
      <c r="J88" s="99">
        <f>I87+J87</f>
        <v>6079695.4943929799</v>
      </c>
      <c r="K88" s="99">
        <f>J88+K87</f>
        <v>7733760.8850266449</v>
      </c>
      <c r="L88" s="99">
        <f t="shared" ref="L88" si="20">K88+L87</f>
        <v>12079599.446569635</v>
      </c>
      <c r="M88" s="99">
        <f t="shared" ref="M88" si="21">L88+M87</f>
        <v>16638191.947380444</v>
      </c>
      <c r="N88" s="99">
        <f t="shared" ref="N88" si="22">M88+N87</f>
        <v>21007806.771868326</v>
      </c>
      <c r="O88" s="99">
        <f t="shared" ref="O88" si="23">N88+O87</f>
        <v>27065143.715974815</v>
      </c>
      <c r="P88" s="99">
        <f t="shared" ref="P88" si="24">O88+P87</f>
        <v>32929200.107219689</v>
      </c>
      <c r="Q88" s="99">
        <f t="shared" ref="Q88" si="25">P88+Q87</f>
        <v>38597580.24524831</v>
      </c>
      <c r="R88" s="99">
        <f t="shared" ref="R88" si="26">Q88+R87</f>
        <v>46134367.60969542</v>
      </c>
      <c r="S88" s="99">
        <f t="shared" ref="S88" si="27">R88+S87</f>
        <v>53470174.126054786</v>
      </c>
      <c r="T88" s="99">
        <f t="shared" ref="T88" si="28">S88+T87</f>
        <v>60602080.585115001</v>
      </c>
      <c r="U88" s="99">
        <f t="shared" ref="U88" si="29">T88+U87</f>
        <v>69800296.107488304</v>
      </c>
      <c r="V88" s="99">
        <f t="shared" ref="V88" si="30">U88+V87</f>
        <v>78788212.373022303</v>
      </c>
      <c r="W88" s="99">
        <f t="shared" ref="W88" si="31">V88+W87</f>
        <v>87562338.120243043</v>
      </c>
      <c r="X88" s="99">
        <f t="shared" ref="X88" si="32">W88+X87</f>
        <v>98619624.596542343</v>
      </c>
      <c r="Y88" s="99">
        <f t="shared" ref="Y88" si="33">X88+Y87</f>
        <v>109455525.25091247</v>
      </c>
      <c r="Z88" s="99">
        <f t="shared" ref="Z88" si="34">Y88+Z87</f>
        <v>120065923.72492678</v>
      </c>
      <c r="AA88" s="99">
        <f t="shared" ref="AA88" si="35">Z88+AA87</f>
        <v>129118896.79078682</v>
      </c>
      <c r="AB88" s="99">
        <f t="shared" ref="AB88" si="36">AA88+AB87</f>
        <v>137937465.35745674</v>
      </c>
      <c r="AC88" s="99">
        <f t="shared" ref="AC88" si="37">AB88+AC87</f>
        <v>146516830.00619206</v>
      </c>
      <c r="AD88" s="99">
        <f t="shared" ref="AD88" si="38">AC88+AD87</f>
        <v>157569900.70812172</v>
      </c>
      <c r="AE88" s="99">
        <f t="shared" ref="AE88" si="39">AD88+AE87</f>
        <v>168470186.9395577</v>
      </c>
      <c r="AF88" s="99">
        <f t="shared" ref="AF88" si="40">AE88+AF87</f>
        <v>179208892.89725044</v>
      </c>
      <c r="AG88" s="99">
        <f t="shared" ref="AG88" si="41">AF88+AG87</f>
        <v>192656704.5863587</v>
      </c>
      <c r="AH88" s="99">
        <f t="shared" ref="AH88" si="42">AG88+AH87</f>
        <v>205924544.82754776</v>
      </c>
      <c r="AI88" s="99">
        <f t="shared" ref="AI88" si="43">AH88+AI87</f>
        <v>219002802.19388005</v>
      </c>
      <c r="AJ88" s="99">
        <f t="shared" ref="AJ88" si="44">AI88+AJ87</f>
        <v>235049297.18216801</v>
      </c>
      <c r="AK88" s="99">
        <f t="shared" ref="AK88" si="45">AJ88+AK87</f>
        <v>250886112.76301542</v>
      </c>
      <c r="AL88" s="99">
        <f t="shared" ref="AL88" si="46">AK88+AL87</f>
        <v>266502746.27069905</v>
      </c>
      <c r="AM88" s="99">
        <f t="shared" ref="AM88" si="47">AL88+AM87</f>
        <v>285372872.25273794</v>
      </c>
      <c r="AN88" s="188">
        <f>AM88+AN87</f>
        <v>304000856.13785243</v>
      </c>
    </row>
    <row r="89" spans="1:41">
      <c r="AN89" s="190" t="s">
        <v>99</v>
      </c>
      <c r="AO89" s="192">
        <f>SUM(J87:AN87)</f>
        <v>304000856.13785243</v>
      </c>
    </row>
  </sheetData>
  <sheetProtection algorithmName="SHA-512" hashValue="r2e/fLWin5zuh9z4p1SIgnIRzlaP5+xGWXuTZKG37o8CgRSS22lcptQxUGzzZHat8d7oaID+Cj75ZBpvGJu4fQ==" saltValue="qg7i1kcXojh89fEXn/u7Bw==" spinCount="100000" sheet="1" objects="1" scenarios="1"/>
  <phoneticPr fontId="19" type="noConversion"/>
  <printOptions headings="1" gridLines="1"/>
  <pageMargins left="0.5" right="0" top="0.5" bottom="0" header="0.25" footer="0"/>
  <pageSetup scale="38" orientation="landscape" cellComments="asDisplayed" horizontalDpi="4294967293" verticalDpi="4294967293" r:id="rId1"/>
  <headerFooter>
    <oddHeader>&amp;L&amp;F&amp;RPage &amp;P of &amp;N</oddHeader>
    <oddFooter>&amp;L&amp;A&amp;R&amp;D &amp;T</oddFooter>
  </headerFooter>
  <colBreaks count="2" manualBreakCount="2">
    <brk id="17" max="1048575" man="1"/>
    <brk id="2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zoomScaleNormal="100" zoomScaleSheetLayoutView="100" workbookViewId="0"/>
  </sheetViews>
  <sheetFormatPr defaultRowHeight="15"/>
  <cols>
    <col min="1" max="1" width="17.140625" customWidth="1"/>
    <col min="2" max="3" width="16.5703125" customWidth="1"/>
    <col min="4" max="4" width="13.140625" customWidth="1"/>
    <col min="5" max="5" width="16.5703125" customWidth="1"/>
    <col min="6" max="6" width="12.7109375" customWidth="1"/>
    <col min="7" max="7" width="16.5703125" customWidth="1"/>
  </cols>
  <sheetData>
    <row r="1" spans="1:6" ht="15.75">
      <c r="A1" s="224" t="s">
        <v>46</v>
      </c>
      <c r="B1" s="224"/>
      <c r="C1" s="224"/>
      <c r="D1" s="224"/>
      <c r="E1" s="35"/>
      <c r="F1" s="36"/>
    </row>
    <row r="2" spans="1:6" ht="15.75">
      <c r="A2" s="37" t="s">
        <v>14</v>
      </c>
      <c r="B2" s="86">
        <f>'Affordability Variables'!C4+'Affordability Variables'!C12+'Affordability Variables'!C16+'Affordability Variables'!C17</f>
        <v>112327567.1675</v>
      </c>
      <c r="C2" s="38"/>
      <c r="D2" s="38"/>
      <c r="E2" s="38"/>
      <c r="F2" s="36"/>
    </row>
    <row r="3" spans="1:6" ht="15.75">
      <c r="A3" s="37" t="s">
        <v>15</v>
      </c>
      <c r="B3" s="87">
        <f>'Affordability Variables'!C7</f>
        <v>3.7499999999999999E-2</v>
      </c>
      <c r="C3" s="35"/>
      <c r="D3" s="35"/>
      <c r="E3" s="35"/>
      <c r="F3" s="36"/>
    </row>
    <row r="4" spans="1:6" ht="15.75">
      <c r="A4" s="37" t="s">
        <v>16</v>
      </c>
      <c r="B4" s="86">
        <f>'Affordability Variables'!C8</f>
        <v>30</v>
      </c>
      <c r="C4" s="39"/>
      <c r="D4" s="35"/>
      <c r="E4" s="35"/>
      <c r="F4" s="36"/>
    </row>
    <row r="5" spans="1:6" ht="15.75">
      <c r="A5" s="78" t="s">
        <v>33</v>
      </c>
      <c r="B5" s="78" t="s">
        <v>17</v>
      </c>
      <c r="C5" s="78" t="s">
        <v>18</v>
      </c>
      <c r="D5" s="79" t="s">
        <v>19</v>
      </c>
      <c r="E5" s="79" t="s">
        <v>20</v>
      </c>
      <c r="F5" s="77" t="s">
        <v>21</v>
      </c>
    </row>
    <row r="6" spans="1:6" ht="15.75">
      <c r="A6" s="77">
        <v>1</v>
      </c>
      <c r="B6" s="40">
        <f>B2</f>
        <v>112327567.1675</v>
      </c>
      <c r="C6" s="40"/>
      <c r="D6" s="40">
        <f>+B6*$B$3*0.5</f>
        <v>2106141.8843906252</v>
      </c>
      <c r="E6" s="41"/>
      <c r="F6" s="96">
        <f>'Affordability Variables'!C6</f>
        <v>2020</v>
      </c>
    </row>
    <row r="7" spans="1:6" ht="15.75">
      <c r="A7" s="77"/>
      <c r="B7" s="35">
        <f t="shared" ref="B7:B11" si="0">B6-C6</f>
        <v>112327567.1675</v>
      </c>
      <c r="C7" s="35">
        <f>+B6/$B$4</f>
        <v>3744252.2389166667</v>
      </c>
      <c r="D7" s="35">
        <f>+D6</f>
        <v>2106141.8843906252</v>
      </c>
      <c r="E7" s="35">
        <f>SUM(C6:D7)</f>
        <v>7956536.0076979166</v>
      </c>
      <c r="F7" s="43">
        <f>+F6</f>
        <v>2020</v>
      </c>
    </row>
    <row r="8" spans="1:6" ht="15.75">
      <c r="A8" s="77">
        <v>2</v>
      </c>
      <c r="B8" s="40">
        <f>B7-C7</f>
        <v>108583314.92858334</v>
      </c>
      <c r="C8" s="40"/>
      <c r="D8" s="40">
        <f>+B8*$B$3*0.5</f>
        <v>2035937.1549109374</v>
      </c>
      <c r="E8" s="41"/>
      <c r="F8" s="42">
        <f>+F6+1</f>
        <v>2021</v>
      </c>
    </row>
    <row r="9" spans="1:6" ht="15.75">
      <c r="A9" s="77"/>
      <c r="B9" s="35">
        <f>B8-C8</f>
        <v>108583314.92858334</v>
      </c>
      <c r="C9" s="35">
        <f>+C7</f>
        <v>3744252.2389166667</v>
      </c>
      <c r="D9" s="35">
        <f>+D8</f>
        <v>2035937.1549109374</v>
      </c>
      <c r="E9" s="35">
        <f>SUM(C8:D9)</f>
        <v>7816126.5487385411</v>
      </c>
      <c r="F9" s="43">
        <f>+F8</f>
        <v>2021</v>
      </c>
    </row>
    <row r="10" spans="1:6" ht="15.75">
      <c r="A10" s="77">
        <v>3</v>
      </c>
      <c r="B10" s="40">
        <f t="shared" si="0"/>
        <v>104839062.68966667</v>
      </c>
      <c r="C10" s="40"/>
      <c r="D10" s="40">
        <f>+B10*$B$3*0.5</f>
        <v>1965732.4254312501</v>
      </c>
      <c r="E10" s="41"/>
      <c r="F10" s="42">
        <f>+F8+1</f>
        <v>2022</v>
      </c>
    </row>
    <row r="11" spans="1:6" ht="15.75">
      <c r="A11" s="77"/>
      <c r="B11" s="35">
        <f t="shared" si="0"/>
        <v>104839062.68966667</v>
      </c>
      <c r="C11" s="35">
        <f>+C9</f>
        <v>3744252.2389166667</v>
      </c>
      <c r="D11" s="35">
        <f>+D10</f>
        <v>1965732.4254312501</v>
      </c>
      <c r="E11" s="35">
        <f>SUM(C10:D11)</f>
        <v>7675717.0897791665</v>
      </c>
      <c r="F11" s="43">
        <f>+F10</f>
        <v>2022</v>
      </c>
    </row>
    <row r="12" spans="1:6" ht="15.75">
      <c r="A12" s="77">
        <v>4</v>
      </c>
      <c r="B12" s="40">
        <f t="shared" ref="B12:B43" si="1">B11-C11</f>
        <v>101094810.45075001</v>
      </c>
      <c r="C12" s="40"/>
      <c r="D12" s="40">
        <f>+B12*$B$3*0.5</f>
        <v>1895527.6959515626</v>
      </c>
      <c r="E12" s="41"/>
      <c r="F12" s="42">
        <f>+F10+1</f>
        <v>2023</v>
      </c>
    </row>
    <row r="13" spans="1:6" ht="15.75">
      <c r="A13" s="77"/>
      <c r="B13" s="35">
        <f t="shared" si="1"/>
        <v>101094810.45075001</v>
      </c>
      <c r="C13" s="35">
        <f t="shared" ref="C13:C43" si="2">C11</f>
        <v>3744252.2389166667</v>
      </c>
      <c r="D13" s="35">
        <f>+D12</f>
        <v>1895527.6959515626</v>
      </c>
      <c r="E13" s="35">
        <f>SUM(C12:D13)</f>
        <v>7535307.6308197919</v>
      </c>
      <c r="F13" s="43">
        <f>+F12</f>
        <v>2023</v>
      </c>
    </row>
    <row r="14" spans="1:6" ht="15.75">
      <c r="A14" s="77">
        <v>5</v>
      </c>
      <c r="B14" s="40">
        <f t="shared" si="1"/>
        <v>97350558.211833343</v>
      </c>
      <c r="C14" s="40"/>
      <c r="D14" s="40">
        <f>+B14*$B$3*0.5</f>
        <v>1825322.9664718751</v>
      </c>
      <c r="E14" s="41"/>
      <c r="F14" s="42">
        <f>+F12+1</f>
        <v>2024</v>
      </c>
    </row>
    <row r="15" spans="1:6" ht="15.75">
      <c r="A15" s="77"/>
      <c r="B15" s="35">
        <f t="shared" si="1"/>
        <v>97350558.211833343</v>
      </c>
      <c r="C15" s="35">
        <f t="shared" si="2"/>
        <v>3744252.2389166667</v>
      </c>
      <c r="D15" s="35">
        <f>+D14</f>
        <v>1825322.9664718751</v>
      </c>
      <c r="E15" s="35">
        <f>SUM(C14:D15)</f>
        <v>7394898.1718604174</v>
      </c>
      <c r="F15" s="43">
        <f>+F14</f>
        <v>2024</v>
      </c>
    </row>
    <row r="16" spans="1:6" ht="15.75">
      <c r="A16" s="77">
        <v>6</v>
      </c>
      <c r="B16" s="40">
        <f t="shared" si="1"/>
        <v>93606305.972916678</v>
      </c>
      <c r="C16" s="40"/>
      <c r="D16" s="40">
        <f>+B16*$B$3*0.5</f>
        <v>1755118.2369921876</v>
      </c>
      <c r="E16" s="41"/>
      <c r="F16" s="42">
        <f>+F14+1</f>
        <v>2025</v>
      </c>
    </row>
    <row r="17" spans="1:6" ht="15.75">
      <c r="A17" s="77"/>
      <c r="B17" s="35">
        <f t="shared" si="1"/>
        <v>93606305.972916678</v>
      </c>
      <c r="C17" s="35">
        <f t="shared" si="2"/>
        <v>3744252.2389166667</v>
      </c>
      <c r="D17" s="35">
        <f>+D16</f>
        <v>1755118.2369921876</v>
      </c>
      <c r="E17" s="35">
        <f>SUM(C16:D17)</f>
        <v>7254488.7129010418</v>
      </c>
      <c r="F17" s="43">
        <f>+F16</f>
        <v>2025</v>
      </c>
    </row>
    <row r="18" spans="1:6" ht="15.75">
      <c r="A18" s="77">
        <v>7</v>
      </c>
      <c r="B18" s="40">
        <f t="shared" si="1"/>
        <v>89862053.734000012</v>
      </c>
      <c r="C18" s="40"/>
      <c r="D18" s="40">
        <f>+B18*$B$3*0.5</f>
        <v>1684913.5075125003</v>
      </c>
      <c r="E18" s="41"/>
      <c r="F18" s="42">
        <f>+F16+1</f>
        <v>2026</v>
      </c>
    </row>
    <row r="19" spans="1:6" ht="15.75">
      <c r="A19" s="77"/>
      <c r="B19" s="35">
        <f t="shared" si="1"/>
        <v>89862053.734000012</v>
      </c>
      <c r="C19" s="35">
        <f t="shared" si="2"/>
        <v>3744252.2389166667</v>
      </c>
      <c r="D19" s="35">
        <f>+D18</f>
        <v>1684913.5075125003</v>
      </c>
      <c r="E19" s="35">
        <f>SUM(C18:D19)</f>
        <v>7114079.2539416673</v>
      </c>
      <c r="F19" s="43">
        <f>+F18</f>
        <v>2026</v>
      </c>
    </row>
    <row r="20" spans="1:6" ht="15.75">
      <c r="A20" s="77">
        <v>8</v>
      </c>
      <c r="B20" s="40">
        <f t="shared" si="1"/>
        <v>86117801.495083347</v>
      </c>
      <c r="C20" s="40"/>
      <c r="D20" s="40">
        <f>+B20*$B$3*0.5</f>
        <v>1614708.7780328128</v>
      </c>
      <c r="E20" s="41"/>
      <c r="F20" s="42">
        <f>+F18+1</f>
        <v>2027</v>
      </c>
    </row>
    <row r="21" spans="1:6" ht="15.75">
      <c r="A21" s="77"/>
      <c r="B21" s="35">
        <f t="shared" si="1"/>
        <v>86117801.495083347</v>
      </c>
      <c r="C21" s="35">
        <f t="shared" si="2"/>
        <v>3744252.2389166667</v>
      </c>
      <c r="D21" s="35">
        <f>+D20</f>
        <v>1614708.7780328128</v>
      </c>
      <c r="E21" s="35">
        <f>SUM(C20:D21)</f>
        <v>6973669.7949822918</v>
      </c>
      <c r="F21" s="43">
        <f>+F20</f>
        <v>2027</v>
      </c>
    </row>
    <row r="22" spans="1:6" ht="15.75">
      <c r="A22" s="77">
        <v>9</v>
      </c>
      <c r="B22" s="40">
        <f t="shared" si="1"/>
        <v>82373549.256166682</v>
      </c>
      <c r="C22" s="40"/>
      <c r="D22" s="40">
        <f>+B22*$B$3*0.5</f>
        <v>1544504.0485531252</v>
      </c>
      <c r="E22" s="41"/>
      <c r="F22" s="42">
        <f>+F20+1</f>
        <v>2028</v>
      </c>
    </row>
    <row r="23" spans="1:6" ht="15.75">
      <c r="A23" s="77"/>
      <c r="B23" s="35">
        <f t="shared" si="1"/>
        <v>82373549.256166682</v>
      </c>
      <c r="C23" s="35">
        <f t="shared" si="2"/>
        <v>3744252.2389166667</v>
      </c>
      <c r="D23" s="35">
        <f>+D22</f>
        <v>1544504.0485531252</v>
      </c>
      <c r="E23" s="35">
        <f>SUM(C22:D23)</f>
        <v>6833260.3360229172</v>
      </c>
      <c r="F23" s="43">
        <f>+F22</f>
        <v>2028</v>
      </c>
    </row>
    <row r="24" spans="1:6" ht="15.75">
      <c r="A24" s="77">
        <v>10</v>
      </c>
      <c r="B24" s="40">
        <f t="shared" si="1"/>
        <v>78629297.017250016</v>
      </c>
      <c r="C24" s="40"/>
      <c r="D24" s="40">
        <f>+B24*$B$3*0.5</f>
        <v>1474299.3190734377</v>
      </c>
      <c r="E24" s="41"/>
      <c r="F24" s="42">
        <f>+F22+1</f>
        <v>2029</v>
      </c>
    </row>
    <row r="25" spans="1:6" ht="15.75">
      <c r="A25" s="77"/>
      <c r="B25" s="35">
        <f t="shared" si="1"/>
        <v>78629297.017250016</v>
      </c>
      <c r="C25" s="35">
        <f t="shared" si="2"/>
        <v>3744252.2389166667</v>
      </c>
      <c r="D25" s="35">
        <f>+D24</f>
        <v>1474299.3190734377</v>
      </c>
      <c r="E25" s="35">
        <f>SUM(C24:D25)</f>
        <v>6692850.8770635417</v>
      </c>
      <c r="F25" s="43">
        <f>+F24</f>
        <v>2029</v>
      </c>
    </row>
    <row r="26" spans="1:6" ht="15.75">
      <c r="A26" s="77">
        <v>11</v>
      </c>
      <c r="B26" s="40">
        <f t="shared" si="1"/>
        <v>74885044.778333351</v>
      </c>
      <c r="C26" s="40"/>
      <c r="D26" s="40">
        <f>+B26*$B$3*0.5</f>
        <v>1404094.5895937502</v>
      </c>
      <c r="E26" s="41"/>
      <c r="F26" s="42">
        <f>+F24+1</f>
        <v>2030</v>
      </c>
    </row>
    <row r="27" spans="1:6" ht="15.75">
      <c r="A27" s="77"/>
      <c r="B27" s="35">
        <f t="shared" si="1"/>
        <v>74885044.778333351</v>
      </c>
      <c r="C27" s="35">
        <f t="shared" si="2"/>
        <v>3744252.2389166667</v>
      </c>
      <c r="D27" s="35">
        <f>+D26</f>
        <v>1404094.5895937502</v>
      </c>
      <c r="E27" s="35">
        <f>SUM(C26:D27)</f>
        <v>6552441.4181041671</v>
      </c>
      <c r="F27" s="43">
        <f>+F26</f>
        <v>2030</v>
      </c>
    </row>
    <row r="28" spans="1:6" ht="15.75">
      <c r="A28" s="77">
        <v>12</v>
      </c>
      <c r="B28" s="40">
        <f t="shared" si="1"/>
        <v>71140792.539416686</v>
      </c>
      <c r="C28" s="40"/>
      <c r="D28" s="40">
        <f>+B28*$B$3*0.5</f>
        <v>1333889.8601140629</v>
      </c>
      <c r="E28" s="41"/>
      <c r="F28" s="42">
        <f>+F26+1</f>
        <v>2031</v>
      </c>
    </row>
    <row r="29" spans="1:6" ht="15.75">
      <c r="A29" s="77"/>
      <c r="B29" s="35">
        <f t="shared" si="1"/>
        <v>71140792.539416686</v>
      </c>
      <c r="C29" s="35">
        <f>+C27</f>
        <v>3744252.2389166667</v>
      </c>
      <c r="D29" s="35">
        <f>+D28</f>
        <v>1333889.8601140629</v>
      </c>
      <c r="E29" s="35">
        <f>SUM(C28:D29)</f>
        <v>6412031.9591447925</v>
      </c>
      <c r="F29" s="43">
        <f>+F28</f>
        <v>2031</v>
      </c>
    </row>
    <row r="30" spans="1:6" ht="15.75">
      <c r="A30" s="77">
        <v>13</v>
      </c>
      <c r="B30" s="40">
        <f t="shared" si="1"/>
        <v>67396540.30050002</v>
      </c>
      <c r="C30" s="40"/>
      <c r="D30" s="40">
        <f>+B30*$B$3*0.5</f>
        <v>1263685.1306343754</v>
      </c>
      <c r="E30" s="41"/>
      <c r="F30" s="42">
        <f>+F28+1</f>
        <v>2032</v>
      </c>
    </row>
    <row r="31" spans="1:6" ht="15.75">
      <c r="A31" s="77"/>
      <c r="B31" s="35">
        <f t="shared" si="1"/>
        <v>67396540.30050002</v>
      </c>
      <c r="C31" s="35">
        <f t="shared" si="2"/>
        <v>3744252.2389166667</v>
      </c>
      <c r="D31" s="35">
        <f>+D30</f>
        <v>1263685.1306343754</v>
      </c>
      <c r="E31" s="35">
        <f>SUM(C30:D31)</f>
        <v>6271622.500185417</v>
      </c>
      <c r="F31" s="43">
        <f>+F30</f>
        <v>2032</v>
      </c>
    </row>
    <row r="32" spans="1:6" ht="15.75">
      <c r="A32" s="77">
        <v>14</v>
      </c>
      <c r="B32" s="40">
        <f t="shared" si="1"/>
        <v>63652288.061583355</v>
      </c>
      <c r="C32" s="40"/>
      <c r="D32" s="40">
        <f>+B32*$B$3*0.5</f>
        <v>1193480.4011546879</v>
      </c>
      <c r="E32" s="41"/>
      <c r="F32" s="42">
        <f>+F30+1</f>
        <v>2033</v>
      </c>
    </row>
    <row r="33" spans="1:7" ht="15.75">
      <c r="A33" s="77"/>
      <c r="B33" s="35">
        <f t="shared" si="1"/>
        <v>63652288.061583355</v>
      </c>
      <c r="C33" s="35">
        <f>+C31</f>
        <v>3744252.2389166667</v>
      </c>
      <c r="D33" s="35">
        <f>+D32</f>
        <v>1193480.4011546879</v>
      </c>
      <c r="E33" s="35">
        <f>SUM(C32:D33)</f>
        <v>6131213.0412260424</v>
      </c>
      <c r="F33" s="43">
        <f>+F32</f>
        <v>2033</v>
      </c>
    </row>
    <row r="34" spans="1:7" ht="15.75">
      <c r="A34" s="77">
        <v>15</v>
      </c>
      <c r="B34" s="40">
        <f t="shared" si="1"/>
        <v>59908035.82266669</v>
      </c>
      <c r="C34" s="40"/>
      <c r="D34" s="40">
        <f>+B34*$B$3*0.5</f>
        <v>1123275.6716750003</v>
      </c>
      <c r="E34" s="41"/>
      <c r="F34" s="42">
        <f>+F32+1</f>
        <v>2034</v>
      </c>
    </row>
    <row r="35" spans="1:7" ht="15.75">
      <c r="A35" s="77"/>
      <c r="B35" s="35">
        <f t="shared" si="1"/>
        <v>59908035.82266669</v>
      </c>
      <c r="C35" s="35">
        <f t="shared" si="2"/>
        <v>3744252.2389166667</v>
      </c>
      <c r="D35" s="35">
        <f>+D34</f>
        <v>1123275.6716750003</v>
      </c>
      <c r="E35" s="35">
        <f>SUM(C34:D35)</f>
        <v>5990803.5822666679</v>
      </c>
      <c r="F35" s="43">
        <f>+F34</f>
        <v>2034</v>
      </c>
    </row>
    <row r="36" spans="1:7" ht="15.75">
      <c r="A36" s="77">
        <v>16</v>
      </c>
      <c r="B36" s="40">
        <f t="shared" si="1"/>
        <v>56163783.583750024</v>
      </c>
      <c r="C36" s="40"/>
      <c r="D36" s="40">
        <f>+B36*$B$3*0.5</f>
        <v>1053070.9421953128</v>
      </c>
      <c r="E36" s="41"/>
      <c r="F36" s="42">
        <f>+F34+1</f>
        <v>2035</v>
      </c>
    </row>
    <row r="37" spans="1:7" ht="15.75">
      <c r="A37" s="77"/>
      <c r="B37" s="35">
        <f t="shared" si="1"/>
        <v>56163783.583750024</v>
      </c>
      <c r="C37" s="35">
        <f>+C35</f>
        <v>3744252.2389166667</v>
      </c>
      <c r="D37" s="35">
        <f>+D36</f>
        <v>1053070.9421953128</v>
      </c>
      <c r="E37" s="35">
        <f>SUM(C36:D37)</f>
        <v>5850394.1233072923</v>
      </c>
      <c r="F37" s="43">
        <f>+F36</f>
        <v>2035</v>
      </c>
    </row>
    <row r="38" spans="1:7" ht="15.75">
      <c r="A38" s="77">
        <v>17</v>
      </c>
      <c r="B38" s="40">
        <f t="shared" si="1"/>
        <v>52419531.344833359</v>
      </c>
      <c r="C38" s="40"/>
      <c r="D38" s="40">
        <f>+B38*$B$3*0.5</f>
        <v>982866.21271562541</v>
      </c>
      <c r="E38" s="41"/>
      <c r="F38" s="42">
        <f>+F36+1</f>
        <v>2036</v>
      </c>
    </row>
    <row r="39" spans="1:7" ht="15.75">
      <c r="A39" s="77"/>
      <c r="B39" s="35">
        <f t="shared" si="1"/>
        <v>52419531.344833359</v>
      </c>
      <c r="C39" s="35">
        <f t="shared" si="2"/>
        <v>3744252.2389166667</v>
      </c>
      <c r="D39" s="35">
        <f>+D38</f>
        <v>982866.21271562541</v>
      </c>
      <c r="E39" s="35">
        <f>SUM(C38:D39)</f>
        <v>5709984.6643479178</v>
      </c>
      <c r="F39" s="43">
        <f>+F38</f>
        <v>2036</v>
      </c>
    </row>
    <row r="40" spans="1:7" ht="15.75">
      <c r="A40" s="77">
        <v>18</v>
      </c>
      <c r="B40" s="40">
        <f t="shared" si="1"/>
        <v>48675279.105916694</v>
      </c>
      <c r="C40" s="40"/>
      <c r="D40" s="40">
        <f>+B40*$B$3*0.5</f>
        <v>912661.48323593801</v>
      </c>
      <c r="E40" s="41"/>
      <c r="F40" s="42">
        <f>+F38+1</f>
        <v>2037</v>
      </c>
    </row>
    <row r="41" spans="1:7" ht="15.75">
      <c r="A41" s="77"/>
      <c r="B41" s="35">
        <f t="shared" si="1"/>
        <v>48675279.105916694</v>
      </c>
      <c r="C41" s="35">
        <f t="shared" si="2"/>
        <v>3744252.2389166667</v>
      </c>
      <c r="D41" s="35">
        <f>+D40</f>
        <v>912661.48323593801</v>
      </c>
      <c r="E41" s="35">
        <f>SUM(C40:D41)</f>
        <v>5569575.2053885423</v>
      </c>
      <c r="F41" s="43">
        <f>+F40</f>
        <v>2037</v>
      </c>
    </row>
    <row r="42" spans="1:7" ht="15.75">
      <c r="A42" s="77">
        <v>19</v>
      </c>
      <c r="B42" s="40">
        <f t="shared" si="1"/>
        <v>44931026.867000028</v>
      </c>
      <c r="C42" s="40"/>
      <c r="D42" s="40">
        <f>+B42*$B$3*0.5</f>
        <v>842456.75375625049</v>
      </c>
      <c r="E42" s="41"/>
      <c r="F42" s="42">
        <f>+F40+1</f>
        <v>2038</v>
      </c>
    </row>
    <row r="43" spans="1:7" ht="15.75">
      <c r="A43" s="77"/>
      <c r="B43" s="35">
        <f t="shared" si="1"/>
        <v>44931026.867000028</v>
      </c>
      <c r="C43" s="35">
        <f t="shared" si="2"/>
        <v>3744252.2389166667</v>
      </c>
      <c r="D43" s="35">
        <f>+D42</f>
        <v>842456.75375625049</v>
      </c>
      <c r="E43" s="35">
        <f>SUM(C42:D43)</f>
        <v>5429165.7464291677</v>
      </c>
      <c r="F43" s="43">
        <f>+F42</f>
        <v>2038</v>
      </c>
    </row>
    <row r="44" spans="1:7" ht="15.75">
      <c r="A44" s="77">
        <v>20</v>
      </c>
      <c r="B44" s="40">
        <f t="shared" ref="B44:B67" si="3">B43-C43</f>
        <v>41186774.628083363</v>
      </c>
      <c r="C44" s="40"/>
      <c r="D44" s="40">
        <f>+B44*$B$3*0.5</f>
        <v>772252.02427656308</v>
      </c>
      <c r="E44" s="41"/>
      <c r="F44" s="42">
        <f>+F42+1</f>
        <v>2039</v>
      </c>
    </row>
    <row r="45" spans="1:7" ht="15.75">
      <c r="A45" s="77"/>
      <c r="B45" s="170">
        <f>ROUND(B44-C44,0)</f>
        <v>41186775</v>
      </c>
      <c r="C45" s="170">
        <f>ROUND(C43,0)</f>
        <v>3744252</v>
      </c>
      <c r="D45" s="35">
        <f>+D44</f>
        <v>772252.02427656308</v>
      </c>
      <c r="E45" s="35">
        <f>SUM(C44:D45)</f>
        <v>5288756.0485531259</v>
      </c>
      <c r="F45" s="43">
        <f>+F44</f>
        <v>2039</v>
      </c>
      <c r="G45" s="149"/>
    </row>
    <row r="46" spans="1:7" ht="15.75">
      <c r="A46" s="94">
        <v>21</v>
      </c>
      <c r="B46" s="40">
        <f t="shared" si="3"/>
        <v>37442523</v>
      </c>
      <c r="C46" s="40"/>
      <c r="D46" s="40">
        <f>+B46*$B$3*0.5</f>
        <v>702047.30625000002</v>
      </c>
      <c r="E46" s="41"/>
      <c r="F46" s="42">
        <f>+F44+1</f>
        <v>2040</v>
      </c>
    </row>
    <row r="47" spans="1:7" ht="15.75">
      <c r="A47" s="35"/>
      <c r="B47" s="35">
        <f t="shared" si="3"/>
        <v>37442523</v>
      </c>
      <c r="C47" s="35">
        <f>+C45</f>
        <v>3744252</v>
      </c>
      <c r="D47" s="35">
        <f>+D46</f>
        <v>702047.30625000002</v>
      </c>
      <c r="E47" s="35">
        <f>SUM(C46:D47)</f>
        <v>5148346.6125000007</v>
      </c>
      <c r="F47" s="43">
        <f>+F46</f>
        <v>2040</v>
      </c>
    </row>
    <row r="48" spans="1:7" ht="15.75">
      <c r="A48" s="94">
        <v>22</v>
      </c>
      <c r="B48" s="40">
        <f t="shared" si="3"/>
        <v>33698271</v>
      </c>
      <c r="C48" s="40"/>
      <c r="D48" s="40">
        <f>+B48*$B$3*0.5</f>
        <v>631842.58124999993</v>
      </c>
      <c r="E48" s="41"/>
      <c r="F48" s="42">
        <f>+F46+1</f>
        <v>2041</v>
      </c>
    </row>
    <row r="49" spans="1:6" ht="15.75">
      <c r="A49" s="35"/>
      <c r="B49" s="35">
        <f t="shared" si="3"/>
        <v>33698271</v>
      </c>
      <c r="C49" s="35">
        <f>+C47</f>
        <v>3744252</v>
      </c>
      <c r="D49" s="35">
        <f>+D48</f>
        <v>631842.58124999993</v>
      </c>
      <c r="E49" s="35">
        <f>SUM(C48:D49)</f>
        <v>5007937.1624999996</v>
      </c>
      <c r="F49" s="43">
        <f>+F48</f>
        <v>2041</v>
      </c>
    </row>
    <row r="50" spans="1:6" ht="15.75">
      <c r="A50" s="94">
        <v>23</v>
      </c>
      <c r="B50" s="40">
        <f t="shared" si="3"/>
        <v>29954019</v>
      </c>
      <c r="C50" s="40"/>
      <c r="D50" s="40">
        <f>+B50*$B$3*0.5</f>
        <v>561637.85624999995</v>
      </c>
      <c r="E50" s="41"/>
      <c r="F50" s="42">
        <f>+F48+1</f>
        <v>2042</v>
      </c>
    </row>
    <row r="51" spans="1:6" ht="15.75">
      <c r="A51" s="35"/>
      <c r="B51" s="35">
        <f t="shared" si="3"/>
        <v>29954019</v>
      </c>
      <c r="C51" s="35">
        <f>+C49</f>
        <v>3744252</v>
      </c>
      <c r="D51" s="35">
        <f>+D50</f>
        <v>561637.85624999995</v>
      </c>
      <c r="E51" s="35">
        <f>SUM(C50:D51)</f>
        <v>4867527.7125000004</v>
      </c>
      <c r="F51" s="43">
        <f>+F50</f>
        <v>2042</v>
      </c>
    </row>
    <row r="52" spans="1:6" ht="15.75">
      <c r="A52" s="94">
        <v>24</v>
      </c>
      <c r="B52" s="40">
        <f t="shared" si="3"/>
        <v>26209767</v>
      </c>
      <c r="C52" s="40"/>
      <c r="D52" s="40">
        <f>+B52*$B$3*0.5</f>
        <v>491433.13124999998</v>
      </c>
      <c r="E52" s="41"/>
      <c r="F52" s="42">
        <f>+F50+1</f>
        <v>2043</v>
      </c>
    </row>
    <row r="53" spans="1:6" ht="15.75">
      <c r="A53" s="35"/>
      <c r="B53" s="35">
        <f t="shared" si="3"/>
        <v>26209767</v>
      </c>
      <c r="C53" s="35">
        <f>+C51</f>
        <v>3744252</v>
      </c>
      <c r="D53" s="35">
        <f>+D52</f>
        <v>491433.13124999998</v>
      </c>
      <c r="E53" s="35">
        <f>SUM(C52:D53)</f>
        <v>4727118.2624999993</v>
      </c>
      <c r="F53" s="43">
        <f>+F52</f>
        <v>2043</v>
      </c>
    </row>
    <row r="54" spans="1:6" ht="15.75">
      <c r="A54" s="94">
        <v>25</v>
      </c>
      <c r="B54" s="40">
        <f t="shared" si="3"/>
        <v>22465515</v>
      </c>
      <c r="C54" s="40"/>
      <c r="D54" s="40">
        <f>+B54*$B$3*0.5</f>
        <v>421228.40625</v>
      </c>
      <c r="E54" s="41"/>
      <c r="F54" s="42">
        <f>+F52+1</f>
        <v>2044</v>
      </c>
    </row>
    <row r="55" spans="1:6" ht="15.75">
      <c r="A55" s="35"/>
      <c r="B55" s="35">
        <f t="shared" si="3"/>
        <v>22465515</v>
      </c>
      <c r="C55" s="35">
        <f>+C53</f>
        <v>3744252</v>
      </c>
      <c r="D55" s="35">
        <f>+D54</f>
        <v>421228.40625</v>
      </c>
      <c r="E55" s="35">
        <f>SUM(C54:D55)</f>
        <v>4586708.8125</v>
      </c>
      <c r="F55" s="43">
        <f>+F54</f>
        <v>2044</v>
      </c>
    </row>
    <row r="56" spans="1:6" ht="15.75">
      <c r="A56" s="94">
        <v>26</v>
      </c>
      <c r="B56" s="40">
        <f t="shared" si="3"/>
        <v>18721263</v>
      </c>
      <c r="C56" s="40"/>
      <c r="D56" s="40">
        <f>+B56*$B$3*0.5</f>
        <v>351023.68124999997</v>
      </c>
      <c r="E56" s="41"/>
      <c r="F56" s="42">
        <f>+F54+1</f>
        <v>2045</v>
      </c>
    </row>
    <row r="57" spans="1:6" ht="15.75">
      <c r="A57" s="35"/>
      <c r="B57" s="35">
        <f t="shared" si="3"/>
        <v>18721263</v>
      </c>
      <c r="C57" s="35">
        <f>+C55</f>
        <v>3744252</v>
      </c>
      <c r="D57" s="35">
        <f>+D56</f>
        <v>351023.68124999997</v>
      </c>
      <c r="E57" s="35">
        <f>SUM(C56:D57)</f>
        <v>4446299.3624999998</v>
      </c>
      <c r="F57" s="43">
        <f>+F56</f>
        <v>2045</v>
      </c>
    </row>
    <row r="58" spans="1:6" ht="15.75">
      <c r="A58" s="94">
        <v>27</v>
      </c>
      <c r="B58" s="40">
        <f t="shared" si="3"/>
        <v>14977011</v>
      </c>
      <c r="C58" s="40"/>
      <c r="D58" s="40">
        <f>+B58*$B$3*0.5</f>
        <v>280818.95624999999</v>
      </c>
      <c r="E58" s="41"/>
      <c r="F58" s="42">
        <f>+F56+1</f>
        <v>2046</v>
      </c>
    </row>
    <row r="59" spans="1:6" ht="15.75">
      <c r="A59" s="35"/>
      <c r="B59" s="35">
        <f t="shared" si="3"/>
        <v>14977011</v>
      </c>
      <c r="C59" s="35">
        <f>+C57</f>
        <v>3744252</v>
      </c>
      <c r="D59" s="35">
        <f>+D58</f>
        <v>280818.95624999999</v>
      </c>
      <c r="E59" s="35">
        <f>SUM(C58:D59)</f>
        <v>4305889.9124999996</v>
      </c>
      <c r="F59" s="43">
        <f>+F58</f>
        <v>2046</v>
      </c>
    </row>
    <row r="60" spans="1:6" ht="15.75">
      <c r="A60" s="94">
        <v>28</v>
      </c>
      <c r="B60" s="40">
        <f t="shared" si="3"/>
        <v>11232759</v>
      </c>
      <c r="C60" s="40"/>
      <c r="D60" s="40">
        <f>+B60*$B$3*0.5</f>
        <v>210614.23124999998</v>
      </c>
      <c r="E60" s="41"/>
      <c r="F60" s="42">
        <f>+F58+1</f>
        <v>2047</v>
      </c>
    </row>
    <row r="61" spans="1:6" ht="15.75">
      <c r="A61" s="35"/>
      <c r="B61" s="35">
        <f t="shared" si="3"/>
        <v>11232759</v>
      </c>
      <c r="C61" s="35">
        <f>+C59</f>
        <v>3744252</v>
      </c>
      <c r="D61" s="35">
        <f>+D60</f>
        <v>210614.23124999998</v>
      </c>
      <c r="E61" s="35">
        <f>SUM(C60:D61)</f>
        <v>4165480.4625000004</v>
      </c>
      <c r="F61" s="43">
        <f>+F60</f>
        <v>2047</v>
      </c>
    </row>
    <row r="62" spans="1:6" ht="15.75">
      <c r="A62" s="94">
        <v>29</v>
      </c>
      <c r="B62" s="40">
        <f t="shared" si="3"/>
        <v>7488507</v>
      </c>
      <c r="C62" s="40"/>
      <c r="D62" s="40">
        <f>+B62*$B$3*0.5</f>
        <v>140409.50625000001</v>
      </c>
      <c r="E62" s="41"/>
      <c r="F62" s="42">
        <f>+F60+1</f>
        <v>2048</v>
      </c>
    </row>
    <row r="63" spans="1:6" ht="15.75">
      <c r="A63" s="35"/>
      <c r="B63" s="35">
        <f t="shared" si="3"/>
        <v>7488507</v>
      </c>
      <c r="C63" s="35">
        <f>+C61</f>
        <v>3744252</v>
      </c>
      <c r="D63" s="35">
        <f>+D62</f>
        <v>140409.50625000001</v>
      </c>
      <c r="E63" s="35">
        <f>SUM(C62:D63)</f>
        <v>4025071.0125000002</v>
      </c>
      <c r="F63" s="43">
        <f>+F62</f>
        <v>2048</v>
      </c>
    </row>
    <row r="64" spans="1:6" ht="15.75">
      <c r="A64" s="94">
        <v>30</v>
      </c>
      <c r="B64" s="40">
        <f>B63-C63</f>
        <v>3744255</v>
      </c>
      <c r="C64" s="40"/>
      <c r="D64" s="40">
        <f>+B64*$B$3*0.5</f>
        <v>70204.78125</v>
      </c>
      <c r="E64" s="41"/>
      <c r="F64" s="42">
        <f>+F62+1</f>
        <v>2049</v>
      </c>
    </row>
    <row r="65" spans="1:7" ht="15.75">
      <c r="A65" s="35"/>
      <c r="B65" s="170">
        <f>B64-C64</f>
        <v>3744255</v>
      </c>
      <c r="C65" s="170">
        <f>+C63</f>
        <v>3744252</v>
      </c>
      <c r="D65" s="35">
        <f>+D64</f>
        <v>70204.78125</v>
      </c>
      <c r="E65" s="35">
        <f>SUM(C64:D65)</f>
        <v>3884661.5625</v>
      </c>
      <c r="F65" s="43">
        <f>+F64</f>
        <v>2049</v>
      </c>
    </row>
    <row r="66" spans="1:7" ht="15.75">
      <c r="A66" s="94">
        <v>31</v>
      </c>
      <c r="B66" s="40">
        <f>B65-C65</f>
        <v>3</v>
      </c>
      <c r="C66" s="40"/>
      <c r="D66" s="40">
        <f>+B66*$B$3*0.5</f>
        <v>5.6249999999999994E-2</v>
      </c>
      <c r="E66" s="41"/>
      <c r="F66" s="42">
        <f>+F64+1</f>
        <v>2050</v>
      </c>
    </row>
    <row r="67" spans="1:7" ht="15.75">
      <c r="A67" s="35"/>
      <c r="B67" s="129">
        <f t="shared" si="3"/>
        <v>3</v>
      </c>
      <c r="C67" s="129"/>
      <c r="D67" s="129">
        <f>+D66</f>
        <v>5.6249999999999994E-2</v>
      </c>
      <c r="E67" s="129">
        <f>SUM(C66:D67)</f>
        <v>0.11249999999999999</v>
      </c>
      <c r="F67" s="130">
        <f>+F66</f>
        <v>2050</v>
      </c>
      <c r="G67" s="74"/>
    </row>
    <row r="68" spans="1:7" ht="15.75">
      <c r="A68" s="35"/>
      <c r="B68" s="35"/>
      <c r="C68" s="85">
        <f>SUM(C6:C67)</f>
        <v>112327564.53941666</v>
      </c>
      <c r="D68" s="85">
        <f>SUM(D6:D67)</f>
        <v>65290399.160843745</v>
      </c>
      <c r="E68" s="197">
        <f>SUM(E6:E67)</f>
        <v>177617963.70026043</v>
      </c>
      <c r="F68" s="35"/>
    </row>
    <row r="70" spans="1:7">
      <c r="D70" s="140"/>
      <c r="E70" s="139"/>
    </row>
  </sheetData>
  <sheetProtection algorithmName="SHA-512" hashValue="PaqrjY5EcX3C/IpPjq/x2zs2AN2DxsReT4BmNQhQYOcQ4vk5LRDM/IBoUd68P8Y57j8AD6qIgWQWf7xun9UYaQ==" saltValue="yNR19qzmWd9n1pfhpv1+Bw==" spinCount="100000" sheet="1" objects="1" scenarios="1"/>
  <mergeCells count="1">
    <mergeCell ref="A1:D1"/>
  </mergeCells>
  <phoneticPr fontId="19" type="noConversion"/>
  <printOptions headings="1" gridLines="1"/>
  <pageMargins left="0.7" right="0.7" top="0.75" bottom="0.75" header="0.3" footer="0.3"/>
  <pageSetup scale="89" orientation="portrait" r:id="rId1"/>
  <headerFooter>
    <oddHeader>&amp;L&amp;F&amp;RPage &amp;P of &amp;N</oddHeader>
    <oddFooter>&amp;C&amp;A</oddFooter>
  </headerFooter>
  <rowBreaks count="1" manualBreakCount="1">
    <brk id="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zoomScaleSheetLayoutView="100" workbookViewId="0"/>
  </sheetViews>
  <sheetFormatPr defaultRowHeight="15"/>
  <cols>
    <col min="1" max="1" width="22.5703125" customWidth="1"/>
    <col min="2" max="2" width="17.5703125" customWidth="1"/>
    <col min="3" max="3" width="16.140625" customWidth="1"/>
    <col min="4" max="4" width="13.140625" customWidth="1"/>
    <col min="5" max="5" width="15.7109375" customWidth="1"/>
    <col min="6" max="6" width="12.7109375" customWidth="1"/>
  </cols>
  <sheetData>
    <row r="1" spans="1:6" ht="15.75">
      <c r="A1" s="224" t="s">
        <v>47</v>
      </c>
      <c r="B1" s="224"/>
      <c r="C1" s="224"/>
      <c r="D1" s="224"/>
      <c r="E1" s="35"/>
      <c r="F1" s="36"/>
    </row>
    <row r="2" spans="1:6" ht="15.75">
      <c r="A2" s="98" t="s">
        <v>73</v>
      </c>
      <c r="B2" s="115" t="str">
        <f>'Affordability Variables'!C9</f>
        <v>X</v>
      </c>
      <c r="C2" s="98"/>
      <c r="D2" s="98"/>
      <c r="E2" s="35"/>
      <c r="F2" s="36"/>
    </row>
    <row r="3" spans="1:6" ht="15.75">
      <c r="A3" s="37" t="s">
        <v>14</v>
      </c>
      <c r="B3" s="86">
        <f>'Affordability Variables'!C4+'Affordability Variables'!C12+'Affordability Variables'!C16+'Affordability Variables'!C17</f>
        <v>112327567.1675</v>
      </c>
      <c r="C3" s="38"/>
      <c r="D3" s="38"/>
      <c r="E3" s="38"/>
      <c r="F3" s="36"/>
    </row>
    <row r="4" spans="1:6" ht="15.75">
      <c r="A4" s="37" t="s">
        <v>15</v>
      </c>
      <c r="B4" s="87">
        <f>'Affordability Variables'!C10</f>
        <v>2.2499999999999999E-2</v>
      </c>
      <c r="C4" s="35"/>
      <c r="D4" s="35"/>
      <c r="E4" s="35"/>
      <c r="F4" s="36"/>
    </row>
    <row r="5" spans="1:6" ht="15.75">
      <c r="A5" s="37" t="s">
        <v>16</v>
      </c>
      <c r="B5" s="86">
        <f>'Affordability Variables'!C11</f>
        <v>1</v>
      </c>
      <c r="C5" s="39"/>
      <c r="D5" s="35"/>
      <c r="E5" s="35"/>
      <c r="F5" s="36"/>
    </row>
    <row r="6" spans="1:6" ht="15.75">
      <c r="A6" s="78" t="s">
        <v>33</v>
      </c>
      <c r="B6" s="78" t="s">
        <v>17</v>
      </c>
      <c r="C6" s="78" t="s">
        <v>18</v>
      </c>
      <c r="D6" s="79" t="s">
        <v>19</v>
      </c>
      <c r="E6" s="79" t="s">
        <v>20</v>
      </c>
      <c r="F6" s="94" t="s">
        <v>21</v>
      </c>
    </row>
    <row r="7" spans="1:6" ht="15.75">
      <c r="A7" s="94">
        <v>1</v>
      </c>
      <c r="B7" s="40">
        <f>B3</f>
        <v>112327567.1675</v>
      </c>
      <c r="C7" s="40"/>
      <c r="D7" s="40">
        <f>+B7*$B$4*0.5</f>
        <v>1263685.1306343749</v>
      </c>
      <c r="E7" s="41"/>
      <c r="F7" s="96">
        <f>'Affordability Variables'!C5</f>
        <v>2019</v>
      </c>
    </row>
    <row r="8" spans="1:6" ht="15.75">
      <c r="A8" s="94"/>
      <c r="B8" s="35">
        <f t="shared" ref="B8" si="0">B7-C7</f>
        <v>112327567.1675</v>
      </c>
      <c r="C8" s="35">
        <f>+B7/$B$5</f>
        <v>112327567.1675</v>
      </c>
      <c r="D8" s="35">
        <f>+D7</f>
        <v>1263685.1306343749</v>
      </c>
      <c r="E8" s="35">
        <f>SUM(C7:D8)</f>
        <v>114854937.42876875</v>
      </c>
      <c r="F8" s="43">
        <f>+F7</f>
        <v>2019</v>
      </c>
    </row>
    <row r="9" spans="1:6" ht="15.75">
      <c r="A9" s="35"/>
      <c r="B9" s="35"/>
      <c r="C9" s="85">
        <f>SUM(C7:C8)</f>
        <v>112327567.1675</v>
      </c>
      <c r="D9" s="199">
        <f>IF(B2&gt;0,SUM(D7+D8),0)</f>
        <v>2527370.2612687498</v>
      </c>
      <c r="E9" s="85">
        <f>SUM(E7:E8)</f>
        <v>114854937.42876875</v>
      </c>
      <c r="F9" s="35"/>
    </row>
  </sheetData>
  <sheetProtection algorithmName="SHA-512" hashValue="uEmN1oxlf51++FFBCpM5SJbhGdkh9Otphk6hQEGwowfgljI9qtwHlA6ewv6cdAkHiwXH8I2uHHPfO1MYc403Iw==" saltValue="6/DIdZeJOrZ4Ve6YVw87Bg==" spinCount="100000" sheet="1" objects="1" scenarios="1"/>
  <mergeCells count="1">
    <mergeCell ref="A1:D1"/>
  </mergeCells>
  <printOptions headings="1" gridLines="1"/>
  <pageMargins left="0.7" right="0.7" top="0.75" bottom="0.75" header="0.3" footer="0.3"/>
  <pageSetup scale="89" orientation="portrait" r:id="rId1"/>
  <headerFooter>
    <oddHeader>&amp;L&amp;F&amp;RPage &amp;P of &amp;N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2"/>
  <sheetViews>
    <sheetView tabSelected="1" zoomScaleNormal="100" zoomScaleSheetLayoutView="100" workbookViewId="0"/>
  </sheetViews>
  <sheetFormatPr defaultRowHeight="15"/>
  <cols>
    <col min="1" max="1" width="19" customWidth="1"/>
    <col min="2" max="2" width="12.42578125" customWidth="1"/>
    <col min="3" max="3" width="12.85546875" customWidth="1"/>
    <col min="4" max="4" width="11.7109375" customWidth="1"/>
    <col min="5" max="5" width="14" customWidth="1"/>
    <col min="6" max="7" width="11.28515625" customWidth="1"/>
    <col min="24" max="24" width="12.7109375" customWidth="1"/>
  </cols>
  <sheetData>
    <row r="1" spans="1:24" ht="15.75">
      <c r="A1" s="46"/>
      <c r="B1" s="67" t="s">
        <v>24</v>
      </c>
      <c r="C1" s="47"/>
      <c r="D1" s="47"/>
      <c r="E1" s="47"/>
      <c r="F1" s="48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4" ht="15.75">
      <c r="A2" s="50" t="s">
        <v>14</v>
      </c>
      <c r="B2" s="54">
        <f>'Affordability Variables'!C13</f>
        <v>2000000</v>
      </c>
      <c r="C2" s="51"/>
      <c r="D2" s="51"/>
      <c r="E2" s="51"/>
      <c r="F2" s="48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4" ht="15.75">
      <c r="A3" s="50" t="s">
        <v>15</v>
      </c>
      <c r="B3" s="87">
        <f>'Affordability Variables'!C14</f>
        <v>3.2500000000000001E-2</v>
      </c>
      <c r="C3" s="47"/>
      <c r="D3" s="47"/>
      <c r="E3" s="47"/>
      <c r="F3" s="48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ht="15.75">
      <c r="A4" s="50" t="s">
        <v>16</v>
      </c>
      <c r="B4" s="54">
        <v>20</v>
      </c>
      <c r="C4" s="52"/>
      <c r="D4" s="47"/>
      <c r="E4" s="47"/>
      <c r="F4" s="48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ht="15.75">
      <c r="A5" s="53"/>
      <c r="B5" s="80" t="s">
        <v>17</v>
      </c>
      <c r="C5" s="80" t="s">
        <v>18</v>
      </c>
      <c r="D5" s="81" t="s">
        <v>19</v>
      </c>
      <c r="E5" s="81" t="s">
        <v>20</v>
      </c>
      <c r="F5" s="80" t="s">
        <v>33</v>
      </c>
      <c r="G5" s="80" t="s">
        <v>33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ht="15.75">
      <c r="A6" s="53"/>
      <c r="B6" s="55">
        <f>B2</f>
        <v>2000000</v>
      </c>
      <c r="C6" s="55"/>
      <c r="D6" s="55">
        <f>+B6*$B$3*0.5</f>
        <v>32500</v>
      </c>
      <c r="E6" s="56"/>
      <c r="F6" s="57">
        <v>1</v>
      </c>
      <c r="G6" s="157">
        <f>'Affordability Variables'!C5</f>
        <v>2019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ht="15.75">
      <c r="A7" s="53"/>
      <c r="B7" s="47">
        <f t="shared" ref="B7:B65" si="0">B6-C6</f>
        <v>2000000</v>
      </c>
      <c r="C7" s="47">
        <f>+$B2/$B$4</f>
        <v>100000</v>
      </c>
      <c r="D7" s="47">
        <f>+D6</f>
        <v>32500</v>
      </c>
      <c r="E7" s="47">
        <f>SUM(C6:D7)</f>
        <v>165000</v>
      </c>
      <c r="F7" s="58">
        <f>+F6</f>
        <v>1</v>
      </c>
      <c r="G7" s="82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ht="15.75">
      <c r="A8" s="53"/>
      <c r="B8" s="55">
        <f t="shared" si="0"/>
        <v>1900000</v>
      </c>
      <c r="C8" s="55"/>
      <c r="D8" s="55">
        <f>+B8*$B$3*0.5</f>
        <v>30875</v>
      </c>
      <c r="E8" s="56"/>
      <c r="F8" s="57">
        <f>+F6+1</f>
        <v>2</v>
      </c>
      <c r="G8" s="82">
        <f>'Acquisition L-T Borrowing'!F8</f>
        <v>2021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ht="15.75">
      <c r="A9" s="47"/>
      <c r="B9" s="47">
        <f t="shared" si="0"/>
        <v>1900000</v>
      </c>
      <c r="C9" s="47">
        <f>+C7</f>
        <v>100000</v>
      </c>
      <c r="D9" s="47">
        <f>+D8</f>
        <v>30875</v>
      </c>
      <c r="E9" s="47">
        <f>SUM(C8:D9)</f>
        <v>161750</v>
      </c>
      <c r="F9" s="58">
        <f>+F8</f>
        <v>2</v>
      </c>
      <c r="G9" s="82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ht="15.75">
      <c r="A10" s="53"/>
      <c r="B10" s="55">
        <f t="shared" si="0"/>
        <v>1800000</v>
      </c>
      <c r="C10" s="55">
        <f t="shared" ref="C10:C64" si="1">C8</f>
        <v>0</v>
      </c>
      <c r="D10" s="55">
        <f>+B10*$B$3*0.5</f>
        <v>29250</v>
      </c>
      <c r="E10" s="56"/>
      <c r="F10" s="57">
        <f>+F8+1</f>
        <v>3</v>
      </c>
      <c r="G10" s="82">
        <f>'Acquisition L-T Borrowing'!F10</f>
        <v>2022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ht="15.75">
      <c r="A11" s="53"/>
      <c r="B11" s="47">
        <f t="shared" si="0"/>
        <v>1800000</v>
      </c>
      <c r="C11" s="47">
        <f>+C9</f>
        <v>100000</v>
      </c>
      <c r="D11" s="47">
        <f>+D10</f>
        <v>29250</v>
      </c>
      <c r="E11" s="47">
        <f>SUM(C10:D11)</f>
        <v>158500</v>
      </c>
      <c r="F11" s="58">
        <f>+F10</f>
        <v>3</v>
      </c>
      <c r="G11" s="82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</row>
    <row r="12" spans="1:24" ht="15.75">
      <c r="A12" s="47"/>
      <c r="B12" s="55">
        <f t="shared" si="0"/>
        <v>1700000</v>
      </c>
      <c r="C12" s="55">
        <f t="shared" si="1"/>
        <v>0</v>
      </c>
      <c r="D12" s="55">
        <f>+B12*$B$3*0.5</f>
        <v>27625</v>
      </c>
      <c r="E12" s="56"/>
      <c r="F12" s="57">
        <f>+F10+1</f>
        <v>4</v>
      </c>
      <c r="G12" s="82">
        <f>'Acquisition L-T Borrowing'!F12</f>
        <v>2023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 ht="15.75">
      <c r="A13" s="47"/>
      <c r="B13" s="47">
        <f t="shared" si="0"/>
        <v>1700000</v>
      </c>
      <c r="C13" s="47">
        <f t="shared" si="1"/>
        <v>100000</v>
      </c>
      <c r="D13" s="47">
        <f>+D12</f>
        <v>27625</v>
      </c>
      <c r="E13" s="47">
        <f>SUM(C12:D13)</f>
        <v>155250</v>
      </c>
      <c r="F13" s="58">
        <f>+F12</f>
        <v>4</v>
      </c>
      <c r="G13" s="82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</row>
    <row r="14" spans="1:24" ht="15.75">
      <c r="A14" s="47"/>
      <c r="B14" s="55">
        <f t="shared" si="0"/>
        <v>1600000</v>
      </c>
      <c r="C14" s="55">
        <f t="shared" si="1"/>
        <v>0</v>
      </c>
      <c r="D14" s="55">
        <f>+B14*$B$3*0.5</f>
        <v>26000</v>
      </c>
      <c r="E14" s="56"/>
      <c r="F14" s="57">
        <f>+F12+1</f>
        <v>5</v>
      </c>
      <c r="G14" s="82">
        <f>'Acquisition L-T Borrowing'!F14</f>
        <v>2024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</row>
    <row r="15" spans="1:24" ht="15.75">
      <c r="A15" s="47"/>
      <c r="B15" s="47">
        <f t="shared" si="0"/>
        <v>1600000</v>
      </c>
      <c r="C15" s="47">
        <f t="shared" si="1"/>
        <v>100000</v>
      </c>
      <c r="D15" s="47">
        <f>+D14</f>
        <v>26000</v>
      </c>
      <c r="E15" s="47">
        <f>SUM(C14:D15)</f>
        <v>152000</v>
      </c>
      <c r="F15" s="58">
        <f>+F14</f>
        <v>5</v>
      </c>
      <c r="G15" s="82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</row>
    <row r="16" spans="1:24" ht="15.75">
      <c r="A16" s="47"/>
      <c r="B16" s="55">
        <f t="shared" si="0"/>
        <v>1500000</v>
      </c>
      <c r="C16" s="55">
        <f t="shared" si="1"/>
        <v>0</v>
      </c>
      <c r="D16" s="55">
        <f>+B16*$B$3*0.5</f>
        <v>24375</v>
      </c>
      <c r="E16" s="56"/>
      <c r="F16" s="57">
        <f>+F14+1</f>
        <v>6</v>
      </c>
      <c r="G16" s="82">
        <f>'Acquisition L-T Borrowing'!F16</f>
        <v>2025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</row>
    <row r="17" spans="1:24" ht="15.75">
      <c r="A17" s="47"/>
      <c r="B17" s="47">
        <f t="shared" si="0"/>
        <v>1500000</v>
      </c>
      <c r="C17" s="47">
        <f t="shared" si="1"/>
        <v>100000</v>
      </c>
      <c r="D17" s="47">
        <f>+D16</f>
        <v>24375</v>
      </c>
      <c r="E17" s="47">
        <f>SUM(C16:D17)</f>
        <v>148750</v>
      </c>
      <c r="F17" s="58">
        <f>+F16</f>
        <v>6</v>
      </c>
      <c r="G17" s="82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</row>
    <row r="18" spans="1:24" ht="15.75">
      <c r="A18" s="47"/>
      <c r="B18" s="55">
        <f t="shared" si="0"/>
        <v>1400000</v>
      </c>
      <c r="C18" s="55">
        <f t="shared" si="1"/>
        <v>0</v>
      </c>
      <c r="D18" s="55">
        <f>+B18*$B$3*0.5</f>
        <v>22750</v>
      </c>
      <c r="E18" s="56"/>
      <c r="F18" s="57">
        <f>+F16+1</f>
        <v>7</v>
      </c>
      <c r="G18" s="82">
        <f>'Acquisition L-T Borrowing'!F18</f>
        <v>2026</v>
      </c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</row>
    <row r="19" spans="1:24" ht="15.75">
      <c r="A19" s="47"/>
      <c r="B19" s="47">
        <f t="shared" si="0"/>
        <v>1400000</v>
      </c>
      <c r="C19" s="47">
        <f t="shared" si="1"/>
        <v>100000</v>
      </c>
      <c r="D19" s="47">
        <f>+D18</f>
        <v>22750</v>
      </c>
      <c r="E19" s="47">
        <f>SUM(C18:D19)</f>
        <v>145500</v>
      </c>
      <c r="F19" s="58">
        <f>+F18</f>
        <v>7</v>
      </c>
      <c r="G19" s="82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</row>
    <row r="20" spans="1:24" ht="15.75">
      <c r="A20" s="47"/>
      <c r="B20" s="55">
        <f t="shared" si="0"/>
        <v>1300000</v>
      </c>
      <c r="C20" s="55">
        <f t="shared" si="1"/>
        <v>0</v>
      </c>
      <c r="D20" s="55">
        <f>+B20*$B$3*0.5</f>
        <v>21125</v>
      </c>
      <c r="E20" s="56"/>
      <c r="F20" s="57">
        <f>+F18+1</f>
        <v>8</v>
      </c>
      <c r="G20" s="82">
        <f>'Acquisition L-T Borrowing'!F20</f>
        <v>2027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</row>
    <row r="21" spans="1:24" ht="15.75">
      <c r="A21" s="47"/>
      <c r="B21" s="47">
        <f t="shared" si="0"/>
        <v>1300000</v>
      </c>
      <c r="C21" s="47">
        <f t="shared" si="1"/>
        <v>100000</v>
      </c>
      <c r="D21" s="47">
        <f>+D20</f>
        <v>21125</v>
      </c>
      <c r="E21" s="47">
        <f>SUM(C20:D21)</f>
        <v>142250</v>
      </c>
      <c r="F21" s="58">
        <f>+F20</f>
        <v>8</v>
      </c>
      <c r="G21" s="82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</row>
    <row r="22" spans="1:24" ht="15.75">
      <c r="A22" s="47"/>
      <c r="B22" s="55">
        <f t="shared" si="0"/>
        <v>1200000</v>
      </c>
      <c r="C22" s="55">
        <f t="shared" si="1"/>
        <v>0</v>
      </c>
      <c r="D22" s="55">
        <f>+B22*$B$3*0.5</f>
        <v>19500</v>
      </c>
      <c r="E22" s="56"/>
      <c r="F22" s="57">
        <f>+F20+1</f>
        <v>9</v>
      </c>
      <c r="G22" s="82">
        <f>'Acquisition L-T Borrowing'!F22</f>
        <v>2028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</row>
    <row r="23" spans="1:24" ht="15.75">
      <c r="A23" s="47"/>
      <c r="B23" s="47">
        <f t="shared" si="0"/>
        <v>1200000</v>
      </c>
      <c r="C23" s="47">
        <f t="shared" si="1"/>
        <v>100000</v>
      </c>
      <c r="D23" s="47">
        <f>+D22</f>
        <v>19500</v>
      </c>
      <c r="E23" s="47">
        <f>SUM(C22:D23)</f>
        <v>139000</v>
      </c>
      <c r="F23" s="58">
        <f>+F22</f>
        <v>9</v>
      </c>
      <c r="G23" s="82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</row>
    <row r="24" spans="1:24" ht="15.75">
      <c r="A24" s="47"/>
      <c r="B24" s="55">
        <f t="shared" si="0"/>
        <v>1100000</v>
      </c>
      <c r="C24" s="55">
        <f t="shared" si="1"/>
        <v>0</v>
      </c>
      <c r="D24" s="55">
        <f>+B24*$B$3*0.5</f>
        <v>17875</v>
      </c>
      <c r="E24" s="56"/>
      <c r="F24" s="57">
        <f>+F22+1</f>
        <v>10</v>
      </c>
      <c r="G24" s="82">
        <f>'Acquisition L-T Borrowing'!F24</f>
        <v>2029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</row>
    <row r="25" spans="1:24" ht="15.75">
      <c r="A25" s="47"/>
      <c r="B25" s="47">
        <f t="shared" si="0"/>
        <v>1100000</v>
      </c>
      <c r="C25" s="47">
        <f t="shared" si="1"/>
        <v>100000</v>
      </c>
      <c r="D25" s="47">
        <f>+D24</f>
        <v>17875</v>
      </c>
      <c r="E25" s="47">
        <f>SUM(C24:D25)</f>
        <v>135750</v>
      </c>
      <c r="F25" s="58">
        <f>+F24</f>
        <v>10</v>
      </c>
      <c r="G25" s="82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</row>
    <row r="26" spans="1:24" ht="15.75">
      <c r="A26" s="47"/>
      <c r="B26" s="55">
        <f t="shared" si="0"/>
        <v>1000000</v>
      </c>
      <c r="C26" s="55">
        <f t="shared" si="1"/>
        <v>0</v>
      </c>
      <c r="D26" s="55">
        <f>+B26*$B$3*0.5</f>
        <v>16250</v>
      </c>
      <c r="E26" s="56"/>
      <c r="F26" s="57">
        <f>+F24+1</f>
        <v>11</v>
      </c>
      <c r="G26" s="82">
        <f>'Acquisition L-T Borrowing'!F26</f>
        <v>2030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</row>
    <row r="27" spans="1:24" ht="15.75">
      <c r="A27" s="47"/>
      <c r="B27" s="47">
        <f t="shared" si="0"/>
        <v>1000000</v>
      </c>
      <c r="C27" s="47">
        <f t="shared" si="1"/>
        <v>100000</v>
      </c>
      <c r="D27" s="47">
        <f>+D26</f>
        <v>16250</v>
      </c>
      <c r="E27" s="47">
        <f>SUM(C26:D27)</f>
        <v>132500</v>
      </c>
      <c r="F27" s="58">
        <f>+F26</f>
        <v>11</v>
      </c>
      <c r="G27" s="82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</row>
    <row r="28" spans="1:24" ht="15.75">
      <c r="A28" s="47"/>
      <c r="B28" s="55">
        <f t="shared" si="0"/>
        <v>900000</v>
      </c>
      <c r="C28" s="55">
        <f t="shared" si="1"/>
        <v>0</v>
      </c>
      <c r="D28" s="55">
        <f>+B28*$B$3*0.5</f>
        <v>14625</v>
      </c>
      <c r="E28" s="56"/>
      <c r="F28" s="57">
        <f>+F26+1</f>
        <v>12</v>
      </c>
      <c r="G28" s="82">
        <f>'Acquisition L-T Borrowing'!F28</f>
        <v>2031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</row>
    <row r="29" spans="1:24" ht="15.75">
      <c r="A29" s="47"/>
      <c r="B29" s="47">
        <f t="shared" si="0"/>
        <v>900000</v>
      </c>
      <c r="C29" s="47">
        <f>+C27</f>
        <v>100000</v>
      </c>
      <c r="D29" s="47">
        <f>+D28</f>
        <v>14625</v>
      </c>
      <c r="E29" s="47">
        <f>SUM(C28:D29)</f>
        <v>129250</v>
      </c>
      <c r="F29" s="58">
        <f>+F28</f>
        <v>12</v>
      </c>
      <c r="G29" s="82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</row>
    <row r="30" spans="1:24" ht="15.75">
      <c r="A30" s="47"/>
      <c r="B30" s="55">
        <f t="shared" si="0"/>
        <v>800000</v>
      </c>
      <c r="C30" s="55">
        <f t="shared" si="1"/>
        <v>0</v>
      </c>
      <c r="D30" s="55">
        <f>+B30*$B$3*0.5</f>
        <v>13000</v>
      </c>
      <c r="E30" s="56"/>
      <c r="F30" s="57">
        <f>+F28+1</f>
        <v>13</v>
      </c>
      <c r="G30" s="82">
        <f>'Acquisition L-T Borrowing'!F30</f>
        <v>2032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</row>
    <row r="31" spans="1:24" ht="15.75">
      <c r="A31" s="47"/>
      <c r="B31" s="47">
        <f t="shared" si="0"/>
        <v>800000</v>
      </c>
      <c r="C31" s="47">
        <f t="shared" si="1"/>
        <v>100000</v>
      </c>
      <c r="D31" s="47">
        <f>+D30</f>
        <v>13000</v>
      </c>
      <c r="E31" s="47">
        <f>SUM(C30:D31)</f>
        <v>126000</v>
      </c>
      <c r="F31" s="58">
        <f>+F30</f>
        <v>13</v>
      </c>
      <c r="G31" s="82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</row>
    <row r="32" spans="1:24" ht="15.75">
      <c r="A32" s="47"/>
      <c r="B32" s="55">
        <f t="shared" si="0"/>
        <v>700000</v>
      </c>
      <c r="C32" s="55">
        <f t="shared" si="1"/>
        <v>0</v>
      </c>
      <c r="D32" s="55">
        <f>+B32*$B$3*0.5</f>
        <v>11375</v>
      </c>
      <c r="E32" s="56"/>
      <c r="F32" s="57">
        <f>+F30+1</f>
        <v>14</v>
      </c>
      <c r="G32" s="82">
        <f>'Acquisition L-T Borrowing'!F32</f>
        <v>2033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</row>
    <row r="33" spans="1:24" ht="15.75">
      <c r="A33" s="47"/>
      <c r="B33" s="47">
        <f t="shared" si="0"/>
        <v>700000</v>
      </c>
      <c r="C33" s="47">
        <f>+C31</f>
        <v>100000</v>
      </c>
      <c r="D33" s="47">
        <f>+D32</f>
        <v>11375</v>
      </c>
      <c r="E33" s="47">
        <f>SUM(C32:D33)</f>
        <v>122750</v>
      </c>
      <c r="F33" s="58">
        <f>+F32</f>
        <v>14</v>
      </c>
      <c r="G33" s="82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</row>
    <row r="34" spans="1:24" ht="15.75">
      <c r="A34" s="47"/>
      <c r="B34" s="55">
        <f t="shared" si="0"/>
        <v>600000</v>
      </c>
      <c r="C34" s="55">
        <f t="shared" si="1"/>
        <v>0</v>
      </c>
      <c r="D34" s="55">
        <f>+B34*$B$3*0.5</f>
        <v>9750</v>
      </c>
      <c r="E34" s="56"/>
      <c r="F34" s="57">
        <f>+F32+1</f>
        <v>15</v>
      </c>
      <c r="G34" s="82">
        <f>'Acquisition L-T Borrowing'!F34</f>
        <v>2034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</row>
    <row r="35" spans="1:24" ht="15.75">
      <c r="A35" s="47"/>
      <c r="B35" s="47">
        <f t="shared" si="0"/>
        <v>600000</v>
      </c>
      <c r="C35" s="47">
        <f t="shared" si="1"/>
        <v>100000</v>
      </c>
      <c r="D35" s="47">
        <f>+D34</f>
        <v>9750</v>
      </c>
      <c r="E35" s="47">
        <f>SUM(C34:D35)</f>
        <v>119500</v>
      </c>
      <c r="F35" s="58">
        <f>+F34</f>
        <v>15</v>
      </c>
      <c r="G35" s="82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</row>
    <row r="36" spans="1:24" ht="15.75">
      <c r="A36" s="47"/>
      <c r="B36" s="55">
        <f t="shared" si="0"/>
        <v>500000</v>
      </c>
      <c r="C36" s="55">
        <f t="shared" si="1"/>
        <v>0</v>
      </c>
      <c r="D36" s="55">
        <f>+B36*$B$3*0.5</f>
        <v>8125</v>
      </c>
      <c r="E36" s="56"/>
      <c r="F36" s="57">
        <f>+F34+1</f>
        <v>16</v>
      </c>
      <c r="G36" s="82">
        <f>'Acquisition L-T Borrowing'!F36</f>
        <v>2035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</row>
    <row r="37" spans="1:24" ht="15.75">
      <c r="A37" s="47"/>
      <c r="B37" s="47">
        <f t="shared" si="0"/>
        <v>500000</v>
      </c>
      <c r="C37" s="47">
        <f>+C35</f>
        <v>100000</v>
      </c>
      <c r="D37" s="47">
        <f>+D36</f>
        <v>8125</v>
      </c>
      <c r="E37" s="47">
        <f>SUM(C36:D37)</f>
        <v>116250</v>
      </c>
      <c r="F37" s="58">
        <f>+F36</f>
        <v>16</v>
      </c>
      <c r="G37" s="82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</row>
    <row r="38" spans="1:24" ht="15.75">
      <c r="A38" s="47"/>
      <c r="B38" s="55">
        <f t="shared" si="0"/>
        <v>400000</v>
      </c>
      <c r="C38" s="55">
        <f t="shared" si="1"/>
        <v>0</v>
      </c>
      <c r="D38" s="55">
        <f>+B38*$B$3*0.5</f>
        <v>6500</v>
      </c>
      <c r="E38" s="56"/>
      <c r="F38" s="57">
        <f>+F36+1</f>
        <v>17</v>
      </c>
      <c r="G38" s="82">
        <f>'Acquisition L-T Borrowing'!F38</f>
        <v>2036</v>
      </c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</row>
    <row r="39" spans="1:24" ht="15.75">
      <c r="A39" s="47"/>
      <c r="B39" s="47">
        <f t="shared" si="0"/>
        <v>400000</v>
      </c>
      <c r="C39" s="47">
        <f t="shared" si="1"/>
        <v>100000</v>
      </c>
      <c r="D39" s="47">
        <f>+D38</f>
        <v>6500</v>
      </c>
      <c r="E39" s="47">
        <f>SUM(C38:D39)</f>
        <v>113000</v>
      </c>
      <c r="F39" s="58">
        <f>+F38</f>
        <v>17</v>
      </c>
      <c r="G39" s="82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</row>
    <row r="40" spans="1:24" ht="15.75">
      <c r="A40" s="47"/>
      <c r="B40" s="55">
        <f t="shared" si="0"/>
        <v>300000</v>
      </c>
      <c r="C40" s="55">
        <f t="shared" si="1"/>
        <v>0</v>
      </c>
      <c r="D40" s="55">
        <f>+B40*$B$3*0.5</f>
        <v>4875</v>
      </c>
      <c r="E40" s="56"/>
      <c r="F40" s="57">
        <f>+F38+1</f>
        <v>18</v>
      </c>
      <c r="G40" s="82">
        <f>'Acquisition L-T Borrowing'!F40</f>
        <v>2037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</row>
    <row r="41" spans="1:24" ht="15.75">
      <c r="A41" s="47"/>
      <c r="B41" s="47">
        <f t="shared" si="0"/>
        <v>300000</v>
      </c>
      <c r="C41" s="47">
        <f t="shared" si="1"/>
        <v>100000</v>
      </c>
      <c r="D41" s="47">
        <f>+D40</f>
        <v>4875</v>
      </c>
      <c r="E41" s="47">
        <f>SUM(C40:D41)</f>
        <v>109750</v>
      </c>
      <c r="F41" s="58">
        <f>+F40</f>
        <v>18</v>
      </c>
      <c r="G41" s="82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</row>
    <row r="42" spans="1:24" ht="15.75">
      <c r="A42" s="47"/>
      <c r="B42" s="55">
        <f t="shared" si="0"/>
        <v>200000</v>
      </c>
      <c r="C42" s="55">
        <f t="shared" si="1"/>
        <v>0</v>
      </c>
      <c r="D42" s="55">
        <f>+B42*$B$3*0.5</f>
        <v>3250</v>
      </c>
      <c r="E42" s="56"/>
      <c r="F42" s="57">
        <f>+F40+1</f>
        <v>19</v>
      </c>
      <c r="G42" s="82">
        <f>'Acquisition L-T Borrowing'!F42</f>
        <v>2038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</row>
    <row r="43" spans="1:24" ht="15.75">
      <c r="A43" s="47"/>
      <c r="B43" s="47">
        <f t="shared" si="0"/>
        <v>200000</v>
      </c>
      <c r="C43" s="47">
        <f t="shared" si="1"/>
        <v>100000</v>
      </c>
      <c r="D43" s="47">
        <f>+D42</f>
        <v>3250</v>
      </c>
      <c r="E43" s="47">
        <f>SUM(C42:D43)</f>
        <v>106500</v>
      </c>
      <c r="F43" s="58">
        <f>+F42</f>
        <v>19</v>
      </c>
      <c r="G43" s="82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</row>
    <row r="44" spans="1:24" ht="15.75">
      <c r="A44" s="47"/>
      <c r="B44" s="55">
        <f t="shared" si="0"/>
        <v>100000</v>
      </c>
      <c r="C44" s="55">
        <f t="shared" si="1"/>
        <v>0</v>
      </c>
      <c r="D44" s="55">
        <f>+B44*$B$3*0.5</f>
        <v>1625</v>
      </c>
      <c r="E44" s="56"/>
      <c r="F44" s="57">
        <f>+F42+1</f>
        <v>20</v>
      </c>
      <c r="G44" s="82">
        <f>'Acquisition L-T Borrowing'!F44</f>
        <v>2039</v>
      </c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</row>
    <row r="45" spans="1:24" ht="15.75">
      <c r="A45" s="47"/>
      <c r="B45" s="47">
        <f t="shared" si="0"/>
        <v>100000</v>
      </c>
      <c r="C45" s="47">
        <f>+C43</f>
        <v>100000</v>
      </c>
      <c r="D45" s="47">
        <f>+D44</f>
        <v>1625</v>
      </c>
      <c r="E45" s="47">
        <f>SUM(C44:D45)</f>
        <v>103250</v>
      </c>
      <c r="F45" s="58">
        <f>+F44</f>
        <v>20</v>
      </c>
      <c r="G45" s="83"/>
      <c r="H45" s="59">
        <f>SUM(E7:E45)</f>
        <v>2682500</v>
      </c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</row>
    <row r="46" spans="1:24" ht="15.75">
      <c r="A46" s="47"/>
      <c r="B46" s="55">
        <f t="shared" si="0"/>
        <v>0</v>
      </c>
      <c r="C46" s="55">
        <f t="shared" si="1"/>
        <v>0</v>
      </c>
      <c r="D46" s="55">
        <f>+B46*$B$3*0.5</f>
        <v>0</v>
      </c>
      <c r="E46" s="56"/>
      <c r="F46" s="57">
        <f>+F44+1</f>
        <v>21</v>
      </c>
      <c r="G46" s="82">
        <f>G44+1</f>
        <v>2040</v>
      </c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</row>
    <row r="47" spans="1:24" ht="15.75">
      <c r="A47" s="47"/>
      <c r="B47" s="47">
        <f t="shared" si="0"/>
        <v>0</v>
      </c>
      <c r="C47" s="47">
        <f>+C45</f>
        <v>100000</v>
      </c>
      <c r="D47" s="47">
        <f>+D46</f>
        <v>0</v>
      </c>
      <c r="E47" s="47">
        <f>SUM(C46:D47)</f>
        <v>100000</v>
      </c>
      <c r="F47" s="58">
        <f>+F46</f>
        <v>21</v>
      </c>
      <c r="G47" s="82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</row>
    <row r="48" spans="1:24" ht="15.75">
      <c r="A48" s="47"/>
      <c r="B48" s="55">
        <f t="shared" si="0"/>
        <v>-100000</v>
      </c>
      <c r="C48" s="55">
        <f t="shared" si="1"/>
        <v>0</v>
      </c>
      <c r="D48" s="55">
        <f>+B48*$B$3*0.5</f>
        <v>-1625</v>
      </c>
      <c r="E48" s="56"/>
      <c r="F48" s="57">
        <f>+F46+1</f>
        <v>22</v>
      </c>
      <c r="G48" s="82">
        <f>G46+1</f>
        <v>2041</v>
      </c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</row>
    <row r="49" spans="1:24" ht="15.75">
      <c r="A49" s="47"/>
      <c r="B49" s="47">
        <f t="shared" si="0"/>
        <v>-100000</v>
      </c>
      <c r="C49" s="47">
        <f t="shared" si="1"/>
        <v>100000</v>
      </c>
      <c r="D49" s="47">
        <f>+D48</f>
        <v>-1625</v>
      </c>
      <c r="E49" s="47">
        <f>SUM(C48:D49)</f>
        <v>96750</v>
      </c>
      <c r="F49" s="58">
        <f>+F48</f>
        <v>22</v>
      </c>
      <c r="G49" s="82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</row>
    <row r="50" spans="1:24" ht="15.75">
      <c r="A50" s="47"/>
      <c r="B50" s="55">
        <f t="shared" si="0"/>
        <v>-200000</v>
      </c>
      <c r="C50" s="55">
        <f t="shared" si="1"/>
        <v>0</v>
      </c>
      <c r="D50" s="55">
        <f>+B50*$B$3*0.5</f>
        <v>-3250</v>
      </c>
      <c r="E50" s="56"/>
      <c r="F50" s="57">
        <f>+F48+1</f>
        <v>23</v>
      </c>
      <c r="G50" s="82">
        <f>G48+1</f>
        <v>2042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</row>
    <row r="51" spans="1:24" ht="15.75">
      <c r="A51" s="47"/>
      <c r="B51" s="47">
        <f t="shared" si="0"/>
        <v>-200000</v>
      </c>
      <c r="C51" s="47">
        <f t="shared" si="1"/>
        <v>100000</v>
      </c>
      <c r="D51" s="47">
        <f>+D50</f>
        <v>-3250</v>
      </c>
      <c r="E51" s="47">
        <f>SUM(C50:D51)</f>
        <v>93500</v>
      </c>
      <c r="F51" s="58">
        <f>+F50</f>
        <v>23</v>
      </c>
      <c r="G51" s="82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</row>
    <row r="52" spans="1:24" ht="15.75">
      <c r="A52" s="47"/>
      <c r="B52" s="55">
        <f t="shared" si="0"/>
        <v>-300000</v>
      </c>
      <c r="C52" s="55">
        <f t="shared" si="1"/>
        <v>0</v>
      </c>
      <c r="D52" s="55">
        <f>+B52*$B$3*0.5</f>
        <v>-4875</v>
      </c>
      <c r="E52" s="56"/>
      <c r="F52" s="57">
        <f>+F50+1</f>
        <v>24</v>
      </c>
      <c r="G52" s="82">
        <f>G50+1</f>
        <v>2043</v>
      </c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</row>
    <row r="53" spans="1:24" ht="15.75">
      <c r="A53" s="47"/>
      <c r="B53" s="47">
        <f t="shared" si="0"/>
        <v>-300000</v>
      </c>
      <c r="C53" s="47">
        <f t="shared" si="1"/>
        <v>100000</v>
      </c>
      <c r="D53" s="47">
        <f>+D52</f>
        <v>-4875</v>
      </c>
      <c r="E53" s="47">
        <f>SUM(C52:D53)</f>
        <v>90250</v>
      </c>
      <c r="F53" s="58">
        <f>+F52</f>
        <v>24</v>
      </c>
      <c r="G53" s="82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</row>
    <row r="54" spans="1:24" ht="15.75">
      <c r="A54" s="47"/>
      <c r="B54" s="55">
        <f t="shared" si="0"/>
        <v>-400000</v>
      </c>
      <c r="C54" s="55">
        <f t="shared" si="1"/>
        <v>0</v>
      </c>
      <c r="D54" s="55">
        <f>+B54*$B$3*0.5</f>
        <v>-6500</v>
      </c>
      <c r="E54" s="56"/>
      <c r="F54" s="57">
        <f>+F52+1</f>
        <v>25</v>
      </c>
      <c r="G54" s="82">
        <f>G52+1</f>
        <v>2044</v>
      </c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</row>
    <row r="55" spans="1:24" ht="15.75">
      <c r="A55" s="47"/>
      <c r="B55" s="47">
        <f t="shared" si="0"/>
        <v>-400000</v>
      </c>
      <c r="C55" s="47">
        <f t="shared" si="1"/>
        <v>100000</v>
      </c>
      <c r="D55" s="47">
        <f>+D54</f>
        <v>-6500</v>
      </c>
      <c r="E55" s="47">
        <f>SUM(C54:D55)</f>
        <v>87000</v>
      </c>
      <c r="F55" s="58">
        <f>+F54</f>
        <v>25</v>
      </c>
      <c r="G55" s="82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</row>
    <row r="56" spans="1:24" ht="15.75">
      <c r="A56" s="47"/>
      <c r="B56" s="55">
        <f t="shared" si="0"/>
        <v>-500000</v>
      </c>
      <c r="C56" s="55">
        <f t="shared" si="1"/>
        <v>0</v>
      </c>
      <c r="D56" s="55">
        <f>+B56*$B$3*0.5</f>
        <v>-8125</v>
      </c>
      <c r="E56" s="56"/>
      <c r="F56" s="57">
        <f>+F54+1</f>
        <v>26</v>
      </c>
      <c r="G56" s="82">
        <f>G54+1</f>
        <v>2045</v>
      </c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</row>
    <row r="57" spans="1:24" ht="15.75">
      <c r="A57" s="47"/>
      <c r="B57" s="47">
        <f t="shared" si="0"/>
        <v>-500000</v>
      </c>
      <c r="C57" s="47">
        <f t="shared" si="1"/>
        <v>100000</v>
      </c>
      <c r="D57" s="47">
        <f>+D56</f>
        <v>-8125</v>
      </c>
      <c r="E57" s="47">
        <f>SUM(C56:D57)</f>
        <v>83750</v>
      </c>
      <c r="F57" s="58">
        <f>+F56</f>
        <v>26</v>
      </c>
      <c r="G57" s="82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</row>
    <row r="58" spans="1:24" ht="15.75">
      <c r="A58" s="49"/>
      <c r="B58" s="55">
        <f t="shared" si="0"/>
        <v>-600000</v>
      </c>
      <c r="C58" s="55">
        <f t="shared" si="1"/>
        <v>0</v>
      </c>
      <c r="D58" s="55">
        <f>+B58*$B$3*0.5</f>
        <v>-9750</v>
      </c>
      <c r="E58" s="56"/>
      <c r="F58" s="57">
        <f>+F56+1</f>
        <v>27</v>
      </c>
      <c r="G58" s="82">
        <f>G56+1</f>
        <v>2046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</row>
    <row r="59" spans="1:24" ht="15.75">
      <c r="A59" s="49"/>
      <c r="B59" s="47">
        <f t="shared" si="0"/>
        <v>-600000</v>
      </c>
      <c r="C59" s="47">
        <f t="shared" si="1"/>
        <v>100000</v>
      </c>
      <c r="D59" s="47">
        <f>+D58</f>
        <v>-9750</v>
      </c>
      <c r="E59" s="47">
        <f>SUM(C58:D59)</f>
        <v>80500</v>
      </c>
      <c r="F59" s="58">
        <f>+F58</f>
        <v>27</v>
      </c>
      <c r="G59" s="82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</row>
    <row r="60" spans="1:24" ht="15.75">
      <c r="A60" s="49"/>
      <c r="B60" s="55">
        <f t="shared" si="0"/>
        <v>-700000</v>
      </c>
      <c r="C60" s="55">
        <f t="shared" si="1"/>
        <v>0</v>
      </c>
      <c r="D60" s="55">
        <f>+B60*$B$3*0.5</f>
        <v>-11375</v>
      </c>
      <c r="E60" s="56"/>
      <c r="F60" s="57">
        <f>+F58+1</f>
        <v>28</v>
      </c>
      <c r="G60" s="82">
        <f>G58+1</f>
        <v>2047</v>
      </c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</row>
    <row r="61" spans="1:24" ht="15.75">
      <c r="A61" s="49"/>
      <c r="B61" s="47">
        <f t="shared" si="0"/>
        <v>-700000</v>
      </c>
      <c r="C61" s="47">
        <f t="shared" si="1"/>
        <v>100000</v>
      </c>
      <c r="D61" s="47">
        <f>+D60</f>
        <v>-11375</v>
      </c>
      <c r="E61" s="47">
        <f>SUM(C60:D61)</f>
        <v>77250</v>
      </c>
      <c r="F61" s="58">
        <f>+F60</f>
        <v>28</v>
      </c>
      <c r="G61" s="82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</row>
    <row r="62" spans="1:24" ht="15.75">
      <c r="A62" s="49"/>
      <c r="B62" s="55">
        <f t="shared" si="0"/>
        <v>-800000</v>
      </c>
      <c r="C62" s="55">
        <f t="shared" si="1"/>
        <v>0</v>
      </c>
      <c r="D62" s="55">
        <f>+B62*$B$3*0.5</f>
        <v>-13000</v>
      </c>
      <c r="E62" s="56"/>
      <c r="F62" s="57">
        <f>+F60+1</f>
        <v>29</v>
      </c>
      <c r="G62" s="82">
        <f>G60+1</f>
        <v>2048</v>
      </c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</row>
    <row r="63" spans="1:24" ht="15.75">
      <c r="A63" s="49"/>
      <c r="B63" s="47">
        <f t="shared" si="0"/>
        <v>-800000</v>
      </c>
      <c r="C63" s="47">
        <f t="shared" si="1"/>
        <v>100000</v>
      </c>
      <c r="D63" s="47">
        <f>+D62</f>
        <v>-13000</v>
      </c>
      <c r="E63" s="47">
        <f>SUM(C62:D63)</f>
        <v>74000</v>
      </c>
      <c r="F63" s="58">
        <f>+F62</f>
        <v>29</v>
      </c>
      <c r="G63" s="82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</row>
    <row r="64" spans="1:24" ht="15.75">
      <c r="A64" s="49"/>
      <c r="B64" s="55">
        <f t="shared" si="0"/>
        <v>-900000</v>
      </c>
      <c r="C64" s="55">
        <f t="shared" si="1"/>
        <v>0</v>
      </c>
      <c r="D64" s="55">
        <f>+B64*$B$3*0.5</f>
        <v>-14625</v>
      </c>
      <c r="E64" s="56"/>
      <c r="F64" s="57">
        <f>+F62+1</f>
        <v>30</v>
      </c>
      <c r="G64" s="82">
        <f>G62+1</f>
        <v>2049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</row>
    <row r="65" spans="1:25" ht="15.75">
      <c r="A65" s="49"/>
      <c r="B65" s="60">
        <f t="shared" si="0"/>
        <v>-900000</v>
      </c>
      <c r="C65" s="60">
        <f>+C63</f>
        <v>100000</v>
      </c>
      <c r="D65" s="60">
        <f>+D64</f>
        <v>-14625</v>
      </c>
      <c r="E65" s="60">
        <f>SUM(C64:D65)</f>
        <v>70750</v>
      </c>
      <c r="F65" s="61">
        <f>+F64</f>
        <v>30</v>
      </c>
      <c r="G65" s="84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</row>
    <row r="66" spans="1:25" ht="15.75">
      <c r="A66" s="49"/>
      <c r="B66" s="53" t="s">
        <v>22</v>
      </c>
      <c r="C66" s="47">
        <f>SUM(C6:C65)</f>
        <v>3000000</v>
      </c>
      <c r="D66" s="47">
        <f>SUM(D6:D65)</f>
        <v>536250</v>
      </c>
      <c r="E66" s="47">
        <f>SUM(E6:E65)</f>
        <v>3536250</v>
      </c>
      <c r="F66" s="47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</row>
    <row r="67" spans="1:25">
      <c r="A67" s="88" t="s">
        <v>34</v>
      </c>
      <c r="B67" s="193">
        <f>G6</f>
        <v>2019</v>
      </c>
      <c r="C67" s="194">
        <v>2020</v>
      </c>
      <c r="D67" s="194">
        <v>2021</v>
      </c>
      <c r="E67" s="194">
        <v>2022</v>
      </c>
      <c r="F67" s="194">
        <v>2023</v>
      </c>
      <c r="G67" s="194">
        <v>2024</v>
      </c>
      <c r="H67" s="194">
        <v>2025</v>
      </c>
      <c r="I67" s="194">
        <v>2026</v>
      </c>
      <c r="J67" s="194">
        <v>2027</v>
      </c>
      <c r="K67" s="194">
        <v>2028</v>
      </c>
      <c r="L67" s="194">
        <v>2029</v>
      </c>
      <c r="M67" s="194">
        <v>2030</v>
      </c>
      <c r="N67" s="194">
        <v>2031</v>
      </c>
      <c r="O67" s="194">
        <v>2032</v>
      </c>
      <c r="P67" s="194">
        <v>2033</v>
      </c>
      <c r="Q67" s="194">
        <v>2034</v>
      </c>
      <c r="R67" s="194">
        <v>2035</v>
      </c>
      <c r="S67" s="194">
        <v>2036</v>
      </c>
      <c r="T67" s="194">
        <v>2037</v>
      </c>
      <c r="U67" s="194">
        <v>2038</v>
      </c>
      <c r="V67" s="194">
        <v>2039</v>
      </c>
      <c r="W67" s="194">
        <v>2040</v>
      </c>
      <c r="X67" s="62"/>
      <c r="Y67" s="62"/>
    </row>
    <row r="68" spans="1:25">
      <c r="A68" s="49"/>
      <c r="B68" s="62">
        <v>1</v>
      </c>
      <c r="C68" s="62">
        <f>+B68+1</f>
        <v>2</v>
      </c>
      <c r="D68" s="62">
        <f t="shared" ref="D68:U68" si="2">+C68+1</f>
        <v>3</v>
      </c>
      <c r="E68" s="62">
        <f t="shared" si="2"/>
        <v>4</v>
      </c>
      <c r="F68" s="62">
        <f t="shared" si="2"/>
        <v>5</v>
      </c>
      <c r="G68" s="62">
        <f t="shared" si="2"/>
        <v>6</v>
      </c>
      <c r="H68" s="62">
        <f t="shared" si="2"/>
        <v>7</v>
      </c>
      <c r="I68" s="62">
        <f t="shared" si="2"/>
        <v>8</v>
      </c>
      <c r="J68" s="62">
        <f t="shared" si="2"/>
        <v>9</v>
      </c>
      <c r="K68" s="62">
        <f t="shared" si="2"/>
        <v>10</v>
      </c>
      <c r="L68" s="62">
        <f t="shared" si="2"/>
        <v>11</v>
      </c>
      <c r="M68" s="62">
        <f t="shared" si="2"/>
        <v>12</v>
      </c>
      <c r="N68" s="62">
        <f t="shared" si="2"/>
        <v>13</v>
      </c>
      <c r="O68" s="62">
        <f t="shared" si="2"/>
        <v>14</v>
      </c>
      <c r="P68" s="62">
        <f t="shared" si="2"/>
        <v>15</v>
      </c>
      <c r="Q68" s="62">
        <f t="shared" si="2"/>
        <v>16</v>
      </c>
      <c r="R68" s="62">
        <f t="shared" si="2"/>
        <v>17</v>
      </c>
      <c r="S68" s="62">
        <f t="shared" si="2"/>
        <v>18</v>
      </c>
      <c r="T68" s="62">
        <f t="shared" si="2"/>
        <v>19</v>
      </c>
      <c r="U68" s="62">
        <f t="shared" si="2"/>
        <v>20</v>
      </c>
      <c r="V68" s="62">
        <v>21</v>
      </c>
      <c r="W68" s="62">
        <v>22</v>
      </c>
      <c r="X68" s="49"/>
    </row>
    <row r="69" spans="1:25">
      <c r="A69" s="49">
        <v>1</v>
      </c>
      <c r="B69" s="59">
        <f>$E$7</f>
        <v>165000</v>
      </c>
      <c r="C69" s="49"/>
      <c r="D69" s="49"/>
      <c r="E69" s="49"/>
      <c r="F69" s="49"/>
      <c r="G69" s="5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59">
        <f>SUM(B69:W69)</f>
        <v>165000</v>
      </c>
    </row>
    <row r="70" spans="1:25">
      <c r="A70" s="49">
        <f>+A69+1</f>
        <v>2</v>
      </c>
      <c r="B70" s="59">
        <f>$E$9</f>
        <v>161750</v>
      </c>
      <c r="C70" s="59">
        <f>$E$7</f>
        <v>165000</v>
      </c>
      <c r="D70" s="49"/>
      <c r="E70" s="49"/>
      <c r="F70" s="49"/>
      <c r="G70" s="5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59">
        <f t="shared" ref="X70:X109" si="3">SUM(B70:W70)</f>
        <v>326750</v>
      </c>
    </row>
    <row r="71" spans="1:25">
      <c r="A71" s="49">
        <f t="shared" ref="A71:A88" si="4">+A70+1</f>
        <v>3</v>
      </c>
      <c r="B71" s="59">
        <f>$E$11</f>
        <v>158500</v>
      </c>
      <c r="C71" s="59">
        <f>$E$9</f>
        <v>161750</v>
      </c>
      <c r="D71" s="59">
        <f>$E$7</f>
        <v>165000</v>
      </c>
      <c r="E71" s="49"/>
      <c r="F71" s="49"/>
      <c r="G71" s="5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59">
        <f t="shared" si="3"/>
        <v>485250</v>
      </c>
    </row>
    <row r="72" spans="1:25">
      <c r="A72" s="49">
        <f t="shared" si="4"/>
        <v>4</v>
      </c>
      <c r="B72" s="59">
        <f>$E$13</f>
        <v>155250</v>
      </c>
      <c r="C72" s="59">
        <f>$E$11</f>
        <v>158500</v>
      </c>
      <c r="D72" s="59">
        <f>$E$9</f>
        <v>161750</v>
      </c>
      <c r="E72" s="59">
        <f>$E$7</f>
        <v>165000</v>
      </c>
      <c r="F72" s="49"/>
      <c r="G72" s="5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59">
        <f t="shared" si="3"/>
        <v>640500</v>
      </c>
    </row>
    <row r="73" spans="1:25">
      <c r="A73" s="49">
        <f t="shared" si="4"/>
        <v>5</v>
      </c>
      <c r="B73" s="59">
        <f>$E$15</f>
        <v>152000</v>
      </c>
      <c r="C73" s="59">
        <f>$E$13</f>
        <v>155250</v>
      </c>
      <c r="D73" s="59">
        <f>$E$11</f>
        <v>158500</v>
      </c>
      <c r="E73" s="59">
        <f>$E$9</f>
        <v>161750</v>
      </c>
      <c r="F73" s="59">
        <f>$E$7</f>
        <v>165000</v>
      </c>
      <c r="G73" s="5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59">
        <f t="shared" si="3"/>
        <v>792500</v>
      </c>
    </row>
    <row r="74" spans="1:25">
      <c r="A74" s="49">
        <f t="shared" si="4"/>
        <v>6</v>
      </c>
      <c r="B74" s="59">
        <f>$E$17</f>
        <v>148750</v>
      </c>
      <c r="C74" s="59">
        <f>$E$15</f>
        <v>152000</v>
      </c>
      <c r="D74" s="59">
        <f>$E$13</f>
        <v>155250</v>
      </c>
      <c r="E74" s="59">
        <f>$E$11</f>
        <v>158500</v>
      </c>
      <c r="F74" s="59">
        <f>$E$9</f>
        <v>161750</v>
      </c>
      <c r="G74" s="59">
        <f>$E$7</f>
        <v>165000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59">
        <f t="shared" si="3"/>
        <v>941250</v>
      </c>
    </row>
    <row r="75" spans="1:25">
      <c r="A75" s="49">
        <f t="shared" si="4"/>
        <v>7</v>
      </c>
      <c r="B75" s="59">
        <f>$E$19</f>
        <v>145500</v>
      </c>
      <c r="C75" s="59">
        <f>$E$17</f>
        <v>148750</v>
      </c>
      <c r="D75" s="59">
        <f>$E$15</f>
        <v>152000</v>
      </c>
      <c r="E75" s="59">
        <f>$E$13</f>
        <v>155250</v>
      </c>
      <c r="F75" s="59">
        <f>$E$11</f>
        <v>158500</v>
      </c>
      <c r="G75" s="59">
        <f>$E$9</f>
        <v>161750</v>
      </c>
      <c r="H75" s="59">
        <f>$E$7</f>
        <v>165000</v>
      </c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59">
        <f t="shared" si="3"/>
        <v>1086750</v>
      </c>
    </row>
    <row r="76" spans="1:25">
      <c r="A76" s="49">
        <f t="shared" si="4"/>
        <v>8</v>
      </c>
      <c r="B76" s="59">
        <f>$E$21</f>
        <v>142250</v>
      </c>
      <c r="C76" s="59">
        <f>$E$19</f>
        <v>145500</v>
      </c>
      <c r="D76" s="59">
        <f>$E$17</f>
        <v>148750</v>
      </c>
      <c r="E76" s="59">
        <f>$E$15</f>
        <v>152000</v>
      </c>
      <c r="F76" s="59">
        <f>$E$13</f>
        <v>155250</v>
      </c>
      <c r="G76" s="59">
        <f>$E$11</f>
        <v>158500</v>
      </c>
      <c r="H76" s="59">
        <f>$E$9</f>
        <v>161750</v>
      </c>
      <c r="I76" s="59">
        <f>$E$7</f>
        <v>165000</v>
      </c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59">
        <f t="shared" si="3"/>
        <v>1229000</v>
      </c>
    </row>
    <row r="77" spans="1:25">
      <c r="A77" s="49">
        <f t="shared" si="4"/>
        <v>9</v>
      </c>
      <c r="B77" s="59">
        <f>$E$23</f>
        <v>139000</v>
      </c>
      <c r="C77" s="59">
        <f>$E$21</f>
        <v>142250</v>
      </c>
      <c r="D77" s="59">
        <f>$E$19</f>
        <v>145500</v>
      </c>
      <c r="E77" s="59">
        <f>$E$17</f>
        <v>148750</v>
      </c>
      <c r="F77" s="59">
        <f>$E$15</f>
        <v>152000</v>
      </c>
      <c r="G77" s="59">
        <f>$E$13</f>
        <v>155250</v>
      </c>
      <c r="H77" s="59">
        <f>$E$11</f>
        <v>158500</v>
      </c>
      <c r="I77" s="59">
        <f>$E$9</f>
        <v>161750</v>
      </c>
      <c r="J77" s="59">
        <f>$E$7</f>
        <v>165000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59">
        <f t="shared" si="3"/>
        <v>1368000</v>
      </c>
    </row>
    <row r="78" spans="1:25">
      <c r="A78" s="49">
        <f t="shared" si="4"/>
        <v>10</v>
      </c>
      <c r="B78" s="59">
        <f>$E$25</f>
        <v>135750</v>
      </c>
      <c r="C78" s="59">
        <f>$E$23</f>
        <v>139000</v>
      </c>
      <c r="D78" s="59">
        <f>$E$21</f>
        <v>142250</v>
      </c>
      <c r="E78" s="59">
        <f>$E$19</f>
        <v>145500</v>
      </c>
      <c r="F78" s="59">
        <f>$E$17</f>
        <v>148750</v>
      </c>
      <c r="G78" s="59">
        <f>$E$15</f>
        <v>152000</v>
      </c>
      <c r="H78" s="59">
        <f>$E$13</f>
        <v>155250</v>
      </c>
      <c r="I78" s="59">
        <f>$E$11</f>
        <v>158500</v>
      </c>
      <c r="J78" s="59">
        <f>$E$9</f>
        <v>161750</v>
      </c>
      <c r="K78" s="59">
        <f>$E$7</f>
        <v>165000</v>
      </c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59">
        <f t="shared" si="3"/>
        <v>1503750</v>
      </c>
    </row>
    <row r="79" spans="1:25">
      <c r="A79" s="49">
        <f t="shared" si="4"/>
        <v>11</v>
      </c>
      <c r="B79" s="59">
        <f>$E$27</f>
        <v>132500</v>
      </c>
      <c r="C79" s="59">
        <f>$E$25</f>
        <v>135750</v>
      </c>
      <c r="D79" s="59">
        <f>$E$23</f>
        <v>139000</v>
      </c>
      <c r="E79" s="59">
        <f>$E$21</f>
        <v>142250</v>
      </c>
      <c r="F79" s="59">
        <f>$E$19</f>
        <v>145500</v>
      </c>
      <c r="G79" s="59">
        <f>$E$17</f>
        <v>148750</v>
      </c>
      <c r="H79" s="59">
        <f>$E$15</f>
        <v>152000</v>
      </c>
      <c r="I79" s="59">
        <f>$E$13</f>
        <v>155250</v>
      </c>
      <c r="J79" s="59">
        <f>$E$11</f>
        <v>158500</v>
      </c>
      <c r="K79" s="59">
        <f>$E$9</f>
        <v>161750</v>
      </c>
      <c r="L79" s="59">
        <f>$E$7</f>
        <v>165000</v>
      </c>
      <c r="M79" s="49"/>
      <c r="N79" s="49"/>
      <c r="O79" s="49"/>
      <c r="P79" s="49"/>
      <c r="Q79" s="59"/>
      <c r="R79" s="49"/>
      <c r="S79" s="49"/>
      <c r="T79" s="49"/>
      <c r="U79" s="49"/>
      <c r="V79" s="49"/>
      <c r="W79" s="49"/>
      <c r="X79" s="59">
        <f t="shared" si="3"/>
        <v>1636250</v>
      </c>
    </row>
    <row r="80" spans="1:25">
      <c r="A80" s="49">
        <f t="shared" si="4"/>
        <v>12</v>
      </c>
      <c r="B80" s="59">
        <f>$E$29</f>
        <v>129250</v>
      </c>
      <c r="C80" s="59">
        <f>$E$27</f>
        <v>132500</v>
      </c>
      <c r="D80" s="59">
        <f>$E$25</f>
        <v>135750</v>
      </c>
      <c r="E80" s="59">
        <f>$E$23</f>
        <v>139000</v>
      </c>
      <c r="F80" s="59">
        <f>$E$21</f>
        <v>142250</v>
      </c>
      <c r="G80" s="59">
        <f>$E$19</f>
        <v>145500</v>
      </c>
      <c r="H80" s="59">
        <f>$E$17</f>
        <v>148750</v>
      </c>
      <c r="I80" s="59">
        <f>$E$15</f>
        <v>152000</v>
      </c>
      <c r="J80" s="59">
        <f>$E$13</f>
        <v>155250</v>
      </c>
      <c r="K80" s="59">
        <f>$E$11</f>
        <v>158500</v>
      </c>
      <c r="L80" s="59">
        <f>$E$9</f>
        <v>161750</v>
      </c>
      <c r="M80" s="59">
        <f>$E$7</f>
        <v>165000</v>
      </c>
      <c r="N80" s="49"/>
      <c r="O80" s="49"/>
      <c r="P80" s="49"/>
      <c r="Q80" s="59"/>
      <c r="R80" s="49"/>
      <c r="S80" s="49"/>
      <c r="T80" s="49"/>
      <c r="U80" s="49"/>
      <c r="V80" s="49"/>
      <c r="W80" s="49"/>
      <c r="X80" s="59">
        <f t="shared" si="3"/>
        <v>1765500</v>
      </c>
    </row>
    <row r="81" spans="1:25">
      <c r="A81" s="49">
        <f t="shared" si="4"/>
        <v>13</v>
      </c>
      <c r="B81" s="59">
        <f>$E$31</f>
        <v>126000</v>
      </c>
      <c r="C81" s="59">
        <f>$E$29</f>
        <v>129250</v>
      </c>
      <c r="D81" s="59">
        <f>$E$27</f>
        <v>132500</v>
      </c>
      <c r="E81" s="59">
        <f>$E$25</f>
        <v>135750</v>
      </c>
      <c r="F81" s="59">
        <f>$E$23</f>
        <v>139000</v>
      </c>
      <c r="G81" s="59">
        <f>$E$21</f>
        <v>142250</v>
      </c>
      <c r="H81" s="59">
        <f>$E$19</f>
        <v>145500</v>
      </c>
      <c r="I81" s="59">
        <f>$E$17</f>
        <v>148750</v>
      </c>
      <c r="J81" s="59">
        <f>$E$15</f>
        <v>152000</v>
      </c>
      <c r="K81" s="59">
        <f>$E$13</f>
        <v>155250</v>
      </c>
      <c r="L81" s="59">
        <f>$E$11</f>
        <v>158500</v>
      </c>
      <c r="M81" s="59">
        <f>$E$9</f>
        <v>161750</v>
      </c>
      <c r="N81" s="59">
        <f>$E$7</f>
        <v>165000</v>
      </c>
      <c r="O81" s="49"/>
      <c r="P81" s="49"/>
      <c r="Q81" s="59"/>
      <c r="R81" s="49"/>
      <c r="S81" s="49"/>
      <c r="T81" s="49"/>
      <c r="U81" s="49"/>
      <c r="V81" s="49"/>
      <c r="W81" s="49"/>
      <c r="X81" s="59">
        <f t="shared" si="3"/>
        <v>1891500</v>
      </c>
    </row>
    <row r="82" spans="1:25">
      <c r="A82" s="49">
        <f t="shared" si="4"/>
        <v>14</v>
      </c>
      <c r="B82" s="59">
        <f>$E$33</f>
        <v>122750</v>
      </c>
      <c r="C82" s="59">
        <f>$E$31</f>
        <v>126000</v>
      </c>
      <c r="D82" s="59">
        <f>$E$29</f>
        <v>129250</v>
      </c>
      <c r="E82" s="59">
        <f>$E$27</f>
        <v>132500</v>
      </c>
      <c r="F82" s="59">
        <f>$E$25</f>
        <v>135750</v>
      </c>
      <c r="G82" s="59">
        <f>$E$23</f>
        <v>139000</v>
      </c>
      <c r="H82" s="59">
        <f>$E$21</f>
        <v>142250</v>
      </c>
      <c r="I82" s="59">
        <f>$E$19</f>
        <v>145500</v>
      </c>
      <c r="J82" s="59">
        <f>$E$17</f>
        <v>148750</v>
      </c>
      <c r="K82" s="59">
        <f>$E$15</f>
        <v>152000</v>
      </c>
      <c r="L82" s="59">
        <f>$E$13</f>
        <v>155250</v>
      </c>
      <c r="M82" s="59">
        <f>$E$11</f>
        <v>158500</v>
      </c>
      <c r="N82" s="59">
        <f>$E$9</f>
        <v>161750</v>
      </c>
      <c r="O82" s="59">
        <f>$E$7</f>
        <v>165000</v>
      </c>
      <c r="P82" s="49"/>
      <c r="Q82" s="59"/>
      <c r="R82" s="49"/>
      <c r="S82" s="49"/>
      <c r="T82" s="49"/>
      <c r="U82" s="49"/>
      <c r="V82" s="49"/>
      <c r="W82" s="49"/>
      <c r="X82" s="59">
        <f t="shared" si="3"/>
        <v>2014250</v>
      </c>
    </row>
    <row r="83" spans="1:25">
      <c r="A83" s="49">
        <f t="shared" si="4"/>
        <v>15</v>
      </c>
      <c r="B83" s="59">
        <f>$E$35</f>
        <v>119500</v>
      </c>
      <c r="C83" s="59">
        <f>$E$33</f>
        <v>122750</v>
      </c>
      <c r="D83" s="59">
        <f>$E$31</f>
        <v>126000</v>
      </c>
      <c r="E83" s="59">
        <f>$E$29</f>
        <v>129250</v>
      </c>
      <c r="F83" s="59">
        <f>$E$27</f>
        <v>132500</v>
      </c>
      <c r="G83" s="59">
        <f>$E$25</f>
        <v>135750</v>
      </c>
      <c r="H83" s="59">
        <f>$E$23</f>
        <v>139000</v>
      </c>
      <c r="I83" s="59">
        <f>$E$21</f>
        <v>142250</v>
      </c>
      <c r="J83" s="59">
        <f>$E$19</f>
        <v>145500</v>
      </c>
      <c r="K83" s="59">
        <f>$E$17</f>
        <v>148750</v>
      </c>
      <c r="L83" s="59">
        <f>$E$15</f>
        <v>152000</v>
      </c>
      <c r="M83" s="59">
        <f>$E$13</f>
        <v>155250</v>
      </c>
      <c r="N83" s="59">
        <f>$E$11</f>
        <v>158500</v>
      </c>
      <c r="O83" s="59">
        <f>$E$9</f>
        <v>161750</v>
      </c>
      <c r="P83" s="59">
        <f>$E$7</f>
        <v>165000</v>
      </c>
      <c r="Q83" s="59"/>
      <c r="R83" s="49"/>
      <c r="S83" s="49"/>
      <c r="T83" s="49"/>
      <c r="U83" s="49"/>
      <c r="V83" s="49"/>
      <c r="W83" s="49"/>
      <c r="X83" s="59">
        <f t="shared" si="3"/>
        <v>2133750</v>
      </c>
    </row>
    <row r="84" spans="1:25">
      <c r="A84" s="49">
        <f t="shared" si="4"/>
        <v>16</v>
      </c>
      <c r="B84" s="59">
        <f>$E$37</f>
        <v>116250</v>
      </c>
      <c r="C84" s="59">
        <f>$E$35</f>
        <v>119500</v>
      </c>
      <c r="D84" s="59">
        <f>$E$33</f>
        <v>122750</v>
      </c>
      <c r="E84" s="59">
        <f>$E$31</f>
        <v>126000</v>
      </c>
      <c r="F84" s="59">
        <f>$E$29</f>
        <v>129250</v>
      </c>
      <c r="G84" s="59">
        <f>$E$27</f>
        <v>132500</v>
      </c>
      <c r="H84" s="59">
        <f>$E$25</f>
        <v>135750</v>
      </c>
      <c r="I84" s="59">
        <f>$E$23</f>
        <v>139000</v>
      </c>
      <c r="J84" s="59">
        <f>$E$21</f>
        <v>142250</v>
      </c>
      <c r="K84" s="59">
        <f>$E$19</f>
        <v>145500</v>
      </c>
      <c r="L84" s="59">
        <f>$E$17</f>
        <v>148750</v>
      </c>
      <c r="M84" s="59">
        <f>$E$15</f>
        <v>152000</v>
      </c>
      <c r="N84" s="59">
        <f>$E$13</f>
        <v>155250</v>
      </c>
      <c r="O84" s="59">
        <f>$E$11</f>
        <v>158500</v>
      </c>
      <c r="P84" s="59">
        <f>$E$9</f>
        <v>161750</v>
      </c>
      <c r="Q84" s="59">
        <f>$E$7</f>
        <v>165000</v>
      </c>
      <c r="R84" s="49"/>
      <c r="S84" s="49"/>
      <c r="T84" s="49"/>
      <c r="U84" s="49"/>
      <c r="V84" s="49"/>
      <c r="W84" s="49"/>
      <c r="X84" s="59">
        <f t="shared" si="3"/>
        <v>2250000</v>
      </c>
    </row>
    <row r="85" spans="1:25">
      <c r="A85" s="49">
        <f t="shared" si="4"/>
        <v>17</v>
      </c>
      <c r="B85" s="59">
        <f>$E$39</f>
        <v>113000</v>
      </c>
      <c r="C85" s="59">
        <f>$E$37</f>
        <v>116250</v>
      </c>
      <c r="D85" s="59">
        <f>$E$35</f>
        <v>119500</v>
      </c>
      <c r="E85" s="59">
        <f>$E$33</f>
        <v>122750</v>
      </c>
      <c r="F85" s="59">
        <f>$E$31</f>
        <v>126000</v>
      </c>
      <c r="G85" s="59">
        <f>$E$29</f>
        <v>129250</v>
      </c>
      <c r="H85" s="59">
        <f>$E$27</f>
        <v>132500</v>
      </c>
      <c r="I85" s="59">
        <f>$E$25</f>
        <v>135750</v>
      </c>
      <c r="J85" s="59">
        <f>$E$23</f>
        <v>139000</v>
      </c>
      <c r="K85" s="59">
        <f>$E$21</f>
        <v>142250</v>
      </c>
      <c r="L85" s="59">
        <f>$E$19</f>
        <v>145500</v>
      </c>
      <c r="M85" s="59">
        <f>$E$17</f>
        <v>148750</v>
      </c>
      <c r="N85" s="59">
        <f>$E$15</f>
        <v>152000</v>
      </c>
      <c r="O85" s="59">
        <f>$E$13</f>
        <v>155250</v>
      </c>
      <c r="P85" s="59">
        <f>$E$11</f>
        <v>158500</v>
      </c>
      <c r="Q85" s="59">
        <f>$E$9</f>
        <v>161750</v>
      </c>
      <c r="R85" s="59">
        <f>$E$7</f>
        <v>165000</v>
      </c>
      <c r="S85" s="49"/>
      <c r="T85" s="49"/>
      <c r="U85" s="49"/>
      <c r="V85" s="49"/>
      <c r="W85" s="49"/>
      <c r="X85" s="59">
        <f t="shared" si="3"/>
        <v>2363000</v>
      </c>
    </row>
    <row r="86" spans="1:25">
      <c r="A86" s="49">
        <f t="shared" si="4"/>
        <v>18</v>
      </c>
      <c r="B86" s="59">
        <f>$E$41</f>
        <v>109750</v>
      </c>
      <c r="C86" s="59">
        <f>$E$39</f>
        <v>113000</v>
      </c>
      <c r="D86" s="59">
        <f>$E$37</f>
        <v>116250</v>
      </c>
      <c r="E86" s="59">
        <f>$E$35</f>
        <v>119500</v>
      </c>
      <c r="F86" s="59">
        <f>$E$33</f>
        <v>122750</v>
      </c>
      <c r="G86" s="59">
        <f>$E$31</f>
        <v>126000</v>
      </c>
      <c r="H86" s="59">
        <f>$E$29</f>
        <v>129250</v>
      </c>
      <c r="I86" s="59">
        <f>$E$27</f>
        <v>132500</v>
      </c>
      <c r="J86" s="59">
        <f>$E$25</f>
        <v>135750</v>
      </c>
      <c r="K86" s="59">
        <f>$E$23</f>
        <v>139000</v>
      </c>
      <c r="L86" s="59">
        <f>$E$21</f>
        <v>142250</v>
      </c>
      <c r="M86" s="59">
        <f>$E$19</f>
        <v>145500</v>
      </c>
      <c r="N86" s="59">
        <f>$E$17</f>
        <v>148750</v>
      </c>
      <c r="O86" s="59">
        <f>$E$15</f>
        <v>152000</v>
      </c>
      <c r="P86" s="59">
        <f>$E$13</f>
        <v>155250</v>
      </c>
      <c r="Q86" s="59">
        <f>$E$11</f>
        <v>158500</v>
      </c>
      <c r="R86" s="59">
        <f>$E$9</f>
        <v>161750</v>
      </c>
      <c r="S86" s="59">
        <f>$E$7</f>
        <v>165000</v>
      </c>
      <c r="T86" s="49"/>
      <c r="U86" s="49"/>
      <c r="V86" s="49"/>
      <c r="W86" s="49"/>
      <c r="X86" s="59">
        <f t="shared" si="3"/>
        <v>2472750</v>
      </c>
    </row>
    <row r="87" spans="1:25">
      <c r="A87" s="49">
        <f t="shared" si="4"/>
        <v>19</v>
      </c>
      <c r="B87" s="59">
        <f>$E$43</f>
        <v>106500</v>
      </c>
      <c r="C87" s="59">
        <f>$E$41</f>
        <v>109750</v>
      </c>
      <c r="D87" s="59">
        <f>$E$39</f>
        <v>113000</v>
      </c>
      <c r="E87" s="59">
        <f>$E$37</f>
        <v>116250</v>
      </c>
      <c r="F87" s="59">
        <f>$E$35</f>
        <v>119500</v>
      </c>
      <c r="G87" s="59">
        <f>$E$33</f>
        <v>122750</v>
      </c>
      <c r="H87" s="59">
        <f>$E$31</f>
        <v>126000</v>
      </c>
      <c r="I87" s="59">
        <f>$E$29</f>
        <v>129250</v>
      </c>
      <c r="J87" s="59">
        <f>$E$27</f>
        <v>132500</v>
      </c>
      <c r="K87" s="59">
        <f>$E$25</f>
        <v>135750</v>
      </c>
      <c r="L87" s="59">
        <f>$E$23</f>
        <v>139000</v>
      </c>
      <c r="M87" s="59">
        <f>$E$21</f>
        <v>142250</v>
      </c>
      <c r="N87" s="59">
        <f>$E$19</f>
        <v>145500</v>
      </c>
      <c r="O87" s="59">
        <f>$E$17</f>
        <v>148750</v>
      </c>
      <c r="P87" s="59">
        <f>$E$15</f>
        <v>152000</v>
      </c>
      <c r="Q87" s="59">
        <f>$E$13</f>
        <v>155250</v>
      </c>
      <c r="R87" s="59">
        <f>$E$11</f>
        <v>158500</v>
      </c>
      <c r="S87" s="59">
        <f>$E$9</f>
        <v>161750</v>
      </c>
      <c r="T87" s="59">
        <f>$E$7</f>
        <v>165000</v>
      </c>
      <c r="U87" s="49"/>
      <c r="V87" s="49"/>
      <c r="W87" s="49"/>
      <c r="X87" s="59">
        <f>SUM(B87:W87)</f>
        <v>2579250</v>
      </c>
    </row>
    <row r="88" spans="1:25">
      <c r="A88" s="63">
        <f t="shared" si="4"/>
        <v>20</v>
      </c>
      <c r="B88" s="64">
        <f>$E$45</f>
        <v>103250</v>
      </c>
      <c r="C88" s="64">
        <f>$E$43</f>
        <v>106500</v>
      </c>
      <c r="D88" s="64">
        <f>$E$41</f>
        <v>109750</v>
      </c>
      <c r="E88" s="64">
        <f>$E$39</f>
        <v>113000</v>
      </c>
      <c r="F88" s="64">
        <f>$E$37</f>
        <v>116250</v>
      </c>
      <c r="G88" s="64">
        <f>$E$35</f>
        <v>119500</v>
      </c>
      <c r="H88" s="64">
        <f>$E$33</f>
        <v>122750</v>
      </c>
      <c r="I88" s="64">
        <f>$E$31</f>
        <v>126000</v>
      </c>
      <c r="J88" s="64">
        <f>$E$29</f>
        <v>129250</v>
      </c>
      <c r="K88" s="64">
        <f>$E$27</f>
        <v>132500</v>
      </c>
      <c r="L88" s="64">
        <f>$E$25</f>
        <v>135750</v>
      </c>
      <c r="M88" s="64">
        <f>$E$23</f>
        <v>139000</v>
      </c>
      <c r="N88" s="64">
        <f>$E$21</f>
        <v>142250</v>
      </c>
      <c r="O88" s="64">
        <f>$E$19</f>
        <v>145500</v>
      </c>
      <c r="P88" s="64">
        <f>$E$17</f>
        <v>148750</v>
      </c>
      <c r="Q88" s="64">
        <f>$E$15</f>
        <v>152000</v>
      </c>
      <c r="R88" s="64">
        <f>$E$13</f>
        <v>155250</v>
      </c>
      <c r="S88" s="64">
        <f>$E$11</f>
        <v>158500</v>
      </c>
      <c r="T88" s="64">
        <f>$E$9</f>
        <v>161750</v>
      </c>
      <c r="U88" s="64">
        <f>$E$7</f>
        <v>165000</v>
      </c>
      <c r="V88" s="64"/>
      <c r="W88" s="64"/>
      <c r="X88" s="64">
        <f>SUM(B88:W88)</f>
        <v>2682500</v>
      </c>
      <c r="Y88" s="33"/>
    </row>
    <row r="89" spans="1:25">
      <c r="A89" s="49">
        <v>21</v>
      </c>
      <c r="B89" s="59"/>
      <c r="C89" s="65">
        <f>$E$45</f>
        <v>103250</v>
      </c>
      <c r="D89" s="65">
        <f>$E$43</f>
        <v>106500</v>
      </c>
      <c r="E89" s="65">
        <f>$E$41</f>
        <v>109750</v>
      </c>
      <c r="F89" s="65">
        <f>$E$39</f>
        <v>113000</v>
      </c>
      <c r="G89" s="65">
        <f>$E$37</f>
        <v>116250</v>
      </c>
      <c r="H89" s="65">
        <f>$E$35</f>
        <v>119500</v>
      </c>
      <c r="I89" s="65">
        <f>$E$33</f>
        <v>122750</v>
      </c>
      <c r="J89" s="65">
        <f>$E$31</f>
        <v>126000</v>
      </c>
      <c r="K89" s="65">
        <f>$E$29</f>
        <v>129250</v>
      </c>
      <c r="L89" s="65">
        <f>$E$27</f>
        <v>132500</v>
      </c>
      <c r="M89" s="65">
        <f>$E$25</f>
        <v>135750</v>
      </c>
      <c r="N89" s="65">
        <f>$E$23</f>
        <v>139000</v>
      </c>
      <c r="O89" s="65">
        <f>$E$21</f>
        <v>142250</v>
      </c>
      <c r="P89" s="65">
        <f>$E$19</f>
        <v>145500</v>
      </c>
      <c r="Q89" s="65">
        <f>$E$17</f>
        <v>148750</v>
      </c>
      <c r="R89" s="65">
        <f>$E$15</f>
        <v>152000</v>
      </c>
      <c r="S89" s="65">
        <f>$E$13</f>
        <v>155250</v>
      </c>
      <c r="T89" s="65">
        <f>$E$11</f>
        <v>158500</v>
      </c>
      <c r="U89" s="65">
        <f>$E$9</f>
        <v>161750</v>
      </c>
      <c r="V89" s="59">
        <f>$E$7</f>
        <v>165000</v>
      </c>
      <c r="W89" s="65"/>
      <c r="X89" s="65">
        <f>SUM(B89:W89)</f>
        <v>2682500</v>
      </c>
    </row>
    <row r="90" spans="1:25">
      <c r="A90" s="49">
        <v>22</v>
      </c>
      <c r="B90" s="49"/>
      <c r="C90" s="66"/>
      <c r="D90" s="65">
        <f>$E$45</f>
        <v>103250</v>
      </c>
      <c r="E90" s="65">
        <f>$E$43</f>
        <v>106500</v>
      </c>
      <c r="F90" s="65">
        <f>$E$41</f>
        <v>109750</v>
      </c>
      <c r="G90" s="65">
        <f>$E$39</f>
        <v>113000</v>
      </c>
      <c r="H90" s="65">
        <f>$E$37</f>
        <v>116250</v>
      </c>
      <c r="I90" s="65">
        <f>$E$35</f>
        <v>119500</v>
      </c>
      <c r="J90" s="65">
        <f>$E$33</f>
        <v>122750</v>
      </c>
      <c r="K90" s="65">
        <f>$E$31</f>
        <v>126000</v>
      </c>
      <c r="L90" s="65">
        <f>$E$29</f>
        <v>129250</v>
      </c>
      <c r="M90" s="65">
        <f>$E$27</f>
        <v>132500</v>
      </c>
      <c r="N90" s="65">
        <f>$E$25</f>
        <v>135750</v>
      </c>
      <c r="O90" s="65">
        <f>$E$23</f>
        <v>139000</v>
      </c>
      <c r="P90" s="65">
        <f>$E$21</f>
        <v>142250</v>
      </c>
      <c r="Q90" s="65">
        <f>$E$19</f>
        <v>145500</v>
      </c>
      <c r="R90" s="65">
        <f>$E$17</f>
        <v>148750</v>
      </c>
      <c r="S90" s="65">
        <f>$E$15</f>
        <v>152000</v>
      </c>
      <c r="T90" s="65">
        <f>$E$13</f>
        <v>155250</v>
      </c>
      <c r="U90" s="65">
        <f>$E$11</f>
        <v>158500</v>
      </c>
      <c r="V90" s="59">
        <f>$E$9</f>
        <v>161750</v>
      </c>
      <c r="W90" s="59">
        <f>$E$7</f>
        <v>165000</v>
      </c>
      <c r="X90" s="89">
        <f>SUM(B90:W90)</f>
        <v>2682500</v>
      </c>
    </row>
    <row r="91" spans="1:25">
      <c r="A91" s="49">
        <v>23</v>
      </c>
      <c r="B91" s="49"/>
      <c r="C91" s="66"/>
      <c r="D91" s="65"/>
      <c r="E91" s="65">
        <f>$E$45</f>
        <v>103250</v>
      </c>
      <c r="F91" s="65">
        <f>$E$43</f>
        <v>106500</v>
      </c>
      <c r="G91" s="65">
        <f>$E$41</f>
        <v>109750</v>
      </c>
      <c r="H91" s="65">
        <f>$E$39</f>
        <v>113000</v>
      </c>
      <c r="I91" s="65">
        <f>$E$37</f>
        <v>116250</v>
      </c>
      <c r="J91" s="65">
        <f>$E$35</f>
        <v>119500</v>
      </c>
      <c r="K91" s="65">
        <f>$E$33</f>
        <v>122750</v>
      </c>
      <c r="L91" s="65">
        <f>$E$31</f>
        <v>126000</v>
      </c>
      <c r="M91" s="65">
        <f>$E$29</f>
        <v>129250</v>
      </c>
      <c r="N91" s="65">
        <f>$E$27</f>
        <v>132500</v>
      </c>
      <c r="O91" s="65">
        <f>$E$25</f>
        <v>135750</v>
      </c>
      <c r="P91" s="65">
        <f>$E$23</f>
        <v>139000</v>
      </c>
      <c r="Q91" s="65">
        <f>$E$21</f>
        <v>142250</v>
      </c>
      <c r="R91" s="65">
        <f>$E$19</f>
        <v>145500</v>
      </c>
      <c r="S91" s="65">
        <f>$E$17</f>
        <v>148750</v>
      </c>
      <c r="T91" s="65">
        <f>$E$15</f>
        <v>152000</v>
      </c>
      <c r="U91" s="65">
        <f>$E$13</f>
        <v>155250</v>
      </c>
      <c r="V91" s="59">
        <f>$E$11</f>
        <v>158500</v>
      </c>
      <c r="W91" s="59">
        <f>$E$9</f>
        <v>161750</v>
      </c>
      <c r="X91" s="89">
        <f>SUM(B91:W91)</f>
        <v>2517500</v>
      </c>
    </row>
    <row r="92" spans="1:25">
      <c r="A92" s="49"/>
      <c r="B92" s="49"/>
      <c r="C92" s="66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90" t="s">
        <v>102</v>
      </c>
      <c r="X92" s="65">
        <f>SUM(X69:X90)</f>
        <v>35692500</v>
      </c>
    </row>
    <row r="93" spans="1:25">
      <c r="A93" s="49"/>
      <c r="B93" s="49"/>
      <c r="C93" s="66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195" t="s">
        <v>101</v>
      </c>
      <c r="X93" s="196">
        <f>X92+(9*X90)</f>
        <v>59835000</v>
      </c>
    </row>
    <row r="94" spans="1:25">
      <c r="A94" s="49"/>
      <c r="B94" s="49"/>
      <c r="C94" s="66"/>
      <c r="D94" s="66"/>
      <c r="E94" s="65">
        <f>$D$90</f>
        <v>103250</v>
      </c>
      <c r="F94" s="65">
        <f>$D$89</f>
        <v>106500</v>
      </c>
      <c r="G94" s="65">
        <f>$D$88</f>
        <v>109750</v>
      </c>
      <c r="H94" s="65">
        <f>$D$87</f>
        <v>113000</v>
      </c>
      <c r="I94" s="65">
        <f>$D$86</f>
        <v>116250</v>
      </c>
      <c r="J94" s="65">
        <f>$D$85</f>
        <v>119500</v>
      </c>
      <c r="K94" s="65">
        <f>$D$84</f>
        <v>122750</v>
      </c>
      <c r="L94" s="65">
        <f>$D$83</f>
        <v>126000</v>
      </c>
      <c r="M94" s="65">
        <f>$D$82</f>
        <v>129250</v>
      </c>
      <c r="N94" s="65">
        <f>$D$81</f>
        <v>132500</v>
      </c>
      <c r="O94" s="65">
        <f>$D$80</f>
        <v>135750</v>
      </c>
      <c r="P94" s="65">
        <f>$D$79</f>
        <v>139000</v>
      </c>
      <c r="Q94" s="65">
        <f>$D$78</f>
        <v>142250</v>
      </c>
      <c r="R94" s="65">
        <f>$D$77</f>
        <v>145500</v>
      </c>
      <c r="S94" s="65">
        <f>$D$76</f>
        <v>148750</v>
      </c>
      <c r="T94" s="65">
        <f>$D$75</f>
        <v>152000</v>
      </c>
      <c r="U94" s="65">
        <f>$D$74</f>
        <v>155250</v>
      </c>
      <c r="V94" s="65">
        <f>$D$73</f>
        <v>158500</v>
      </c>
      <c r="W94" s="65">
        <f>$D$72</f>
        <v>161750</v>
      </c>
      <c r="X94" s="65">
        <f>SUM(B94:W94)</f>
        <v>2517500</v>
      </c>
    </row>
    <row r="95" spans="1:25">
      <c r="A95" s="49"/>
      <c r="B95" s="49"/>
      <c r="C95" s="66"/>
      <c r="D95" s="66"/>
      <c r="E95" s="66"/>
      <c r="F95" s="65">
        <f>$D$90</f>
        <v>103250</v>
      </c>
      <c r="G95" s="65">
        <f>$D$89</f>
        <v>106500</v>
      </c>
      <c r="H95" s="65">
        <f>$D$88</f>
        <v>109750</v>
      </c>
      <c r="I95" s="65">
        <f>$D$87</f>
        <v>113000</v>
      </c>
      <c r="J95" s="65">
        <f>$D$86</f>
        <v>116250</v>
      </c>
      <c r="K95" s="65">
        <f>$D$85</f>
        <v>119500</v>
      </c>
      <c r="L95" s="65">
        <f>$D$84</f>
        <v>122750</v>
      </c>
      <c r="M95" s="65">
        <f>$D$83</f>
        <v>126000</v>
      </c>
      <c r="N95" s="65">
        <f>$D$82</f>
        <v>129250</v>
      </c>
      <c r="O95" s="65">
        <f>$D$81</f>
        <v>132500</v>
      </c>
      <c r="P95" s="65">
        <f>$D$80</f>
        <v>135750</v>
      </c>
      <c r="Q95" s="65">
        <f>$D$79</f>
        <v>139000</v>
      </c>
      <c r="R95" s="65">
        <f>$D$78</f>
        <v>142250</v>
      </c>
      <c r="S95" s="65">
        <f>$D$77</f>
        <v>145500</v>
      </c>
      <c r="T95" s="65">
        <f>$D$76</f>
        <v>148750</v>
      </c>
      <c r="U95" s="65">
        <f>$D$75</f>
        <v>152000</v>
      </c>
      <c r="V95" s="65">
        <f>$D$74</f>
        <v>155250</v>
      </c>
      <c r="W95" s="65">
        <f>$D$73</f>
        <v>158500</v>
      </c>
      <c r="X95" s="65">
        <f t="shared" si="3"/>
        <v>2355750</v>
      </c>
    </row>
    <row r="96" spans="1:25">
      <c r="A96" s="49"/>
      <c r="B96" s="49"/>
      <c r="C96" s="66"/>
      <c r="D96" s="66"/>
      <c r="E96" s="66"/>
      <c r="F96" s="66"/>
      <c r="G96" s="65">
        <f>$D$90</f>
        <v>103250</v>
      </c>
      <c r="H96" s="65">
        <f>$D$89</f>
        <v>106500</v>
      </c>
      <c r="I96" s="65">
        <f>$D$88</f>
        <v>109750</v>
      </c>
      <c r="J96" s="65">
        <f>$D$87</f>
        <v>113000</v>
      </c>
      <c r="K96" s="65">
        <f>$D$86</f>
        <v>116250</v>
      </c>
      <c r="L96" s="65">
        <f>$D$85</f>
        <v>119500</v>
      </c>
      <c r="M96" s="65">
        <f>$D$84</f>
        <v>122750</v>
      </c>
      <c r="N96" s="65">
        <f>$D$83</f>
        <v>126000</v>
      </c>
      <c r="O96" s="65">
        <f>$D$82</f>
        <v>129250</v>
      </c>
      <c r="P96" s="65">
        <f>$D$81</f>
        <v>132500</v>
      </c>
      <c r="Q96" s="65">
        <f>$D$80</f>
        <v>135750</v>
      </c>
      <c r="R96" s="65">
        <f>$D$79</f>
        <v>139000</v>
      </c>
      <c r="S96" s="65">
        <f>$D$78</f>
        <v>142250</v>
      </c>
      <c r="T96" s="65">
        <f>$D$77</f>
        <v>145500</v>
      </c>
      <c r="U96" s="65">
        <f>$D$76</f>
        <v>148750</v>
      </c>
      <c r="V96" s="65">
        <f>$D$75</f>
        <v>152000</v>
      </c>
      <c r="W96" s="65">
        <f>$D$74</f>
        <v>155250</v>
      </c>
      <c r="X96" s="65">
        <f t="shared" si="3"/>
        <v>2197250</v>
      </c>
    </row>
    <row r="97" spans="1:24">
      <c r="A97" s="49"/>
      <c r="B97" s="49"/>
      <c r="C97" s="66"/>
      <c r="D97" s="66"/>
      <c r="E97" s="66"/>
      <c r="F97" s="66"/>
      <c r="G97" s="66"/>
      <c r="H97" s="65">
        <f>$D$90</f>
        <v>103250</v>
      </c>
      <c r="I97" s="65">
        <f>$D$89</f>
        <v>106500</v>
      </c>
      <c r="J97" s="65">
        <f>$D$88</f>
        <v>109750</v>
      </c>
      <c r="K97" s="65">
        <f>$D$87</f>
        <v>113000</v>
      </c>
      <c r="L97" s="65">
        <f>$D$86</f>
        <v>116250</v>
      </c>
      <c r="M97" s="65">
        <f>$D$85</f>
        <v>119500</v>
      </c>
      <c r="N97" s="65">
        <f>$D$84</f>
        <v>122750</v>
      </c>
      <c r="O97" s="65">
        <f>$D$83</f>
        <v>126000</v>
      </c>
      <c r="P97" s="65">
        <f>$D$82</f>
        <v>129250</v>
      </c>
      <c r="Q97" s="65">
        <f>$D$81</f>
        <v>132500</v>
      </c>
      <c r="R97" s="65">
        <f>$D$80</f>
        <v>135750</v>
      </c>
      <c r="S97" s="65">
        <f>$D$79</f>
        <v>139000</v>
      </c>
      <c r="T97" s="65">
        <f>$D$78</f>
        <v>142250</v>
      </c>
      <c r="U97" s="65">
        <f>$D$77</f>
        <v>145500</v>
      </c>
      <c r="V97" s="65">
        <f>$D$76</f>
        <v>148750</v>
      </c>
      <c r="W97" s="65">
        <f>$D$75</f>
        <v>152000</v>
      </c>
      <c r="X97" s="65">
        <f t="shared" si="3"/>
        <v>2042000</v>
      </c>
    </row>
    <row r="98" spans="1:24">
      <c r="A98" s="49"/>
      <c r="B98" s="49"/>
      <c r="C98" s="66"/>
      <c r="D98" s="66"/>
      <c r="E98" s="66"/>
      <c r="F98" s="66"/>
      <c r="G98" s="66"/>
      <c r="H98" s="66"/>
      <c r="I98" s="65">
        <f>$D$90</f>
        <v>103250</v>
      </c>
      <c r="J98" s="65">
        <f>$D$89</f>
        <v>106500</v>
      </c>
      <c r="K98" s="65">
        <f>$D$88</f>
        <v>109750</v>
      </c>
      <c r="L98" s="65">
        <f>$D$87</f>
        <v>113000</v>
      </c>
      <c r="M98" s="65">
        <f>$D$86</f>
        <v>116250</v>
      </c>
      <c r="N98" s="65">
        <f>$D$85</f>
        <v>119500</v>
      </c>
      <c r="O98" s="65">
        <f>$D$84</f>
        <v>122750</v>
      </c>
      <c r="P98" s="65">
        <f>$D$83</f>
        <v>126000</v>
      </c>
      <c r="Q98" s="65">
        <f>$D$82</f>
        <v>129250</v>
      </c>
      <c r="R98" s="65">
        <f>$D$81</f>
        <v>132500</v>
      </c>
      <c r="S98" s="65">
        <f>$D$80</f>
        <v>135750</v>
      </c>
      <c r="T98" s="65">
        <f>$D$79</f>
        <v>139000</v>
      </c>
      <c r="U98" s="65">
        <f>$D$78</f>
        <v>142250</v>
      </c>
      <c r="V98" s="65">
        <f>$D$77</f>
        <v>145500</v>
      </c>
      <c r="W98" s="65">
        <f>$D$76</f>
        <v>148750</v>
      </c>
      <c r="X98" s="65">
        <f t="shared" si="3"/>
        <v>1890000</v>
      </c>
    </row>
    <row r="99" spans="1:24">
      <c r="A99" s="49"/>
      <c r="B99" s="49"/>
      <c r="C99" s="66"/>
      <c r="D99" s="66"/>
      <c r="E99" s="66"/>
      <c r="F99" s="66"/>
      <c r="G99" s="66"/>
      <c r="H99" s="66"/>
      <c r="I99" s="66"/>
      <c r="J99" s="65">
        <f>$D$90</f>
        <v>103250</v>
      </c>
      <c r="K99" s="65">
        <f>$D$89</f>
        <v>106500</v>
      </c>
      <c r="L99" s="65">
        <f>$D$88</f>
        <v>109750</v>
      </c>
      <c r="M99" s="65">
        <f>$D$87</f>
        <v>113000</v>
      </c>
      <c r="N99" s="65">
        <f>$D$86</f>
        <v>116250</v>
      </c>
      <c r="O99" s="65">
        <f>$D$85</f>
        <v>119500</v>
      </c>
      <c r="P99" s="65">
        <f>$D$84</f>
        <v>122750</v>
      </c>
      <c r="Q99" s="65">
        <f>$D$83</f>
        <v>126000</v>
      </c>
      <c r="R99" s="65">
        <f>$D$82</f>
        <v>129250</v>
      </c>
      <c r="S99" s="65">
        <f>$D$81</f>
        <v>132500</v>
      </c>
      <c r="T99" s="65">
        <f>$D$80</f>
        <v>135750</v>
      </c>
      <c r="U99" s="65">
        <f>$D$79</f>
        <v>139000</v>
      </c>
      <c r="V99" s="65">
        <f>$D$78</f>
        <v>142250</v>
      </c>
      <c r="W99" s="65">
        <f>$D$77</f>
        <v>145500</v>
      </c>
      <c r="X99" s="65">
        <f t="shared" si="3"/>
        <v>1741250</v>
      </c>
    </row>
    <row r="100" spans="1:24">
      <c r="A100" s="49"/>
      <c r="B100" s="49"/>
      <c r="C100" s="66"/>
      <c r="D100" s="66"/>
      <c r="E100" s="66"/>
      <c r="F100" s="66"/>
      <c r="G100" s="66"/>
      <c r="H100" s="66"/>
      <c r="I100" s="66"/>
      <c r="J100" s="66"/>
      <c r="K100" s="65">
        <f>$D$90</f>
        <v>103250</v>
      </c>
      <c r="L100" s="65">
        <f>$D$89</f>
        <v>106500</v>
      </c>
      <c r="M100" s="65">
        <f>$D$88</f>
        <v>109750</v>
      </c>
      <c r="N100" s="65">
        <f>$D$87</f>
        <v>113000</v>
      </c>
      <c r="O100" s="65">
        <f>$D$86</f>
        <v>116250</v>
      </c>
      <c r="P100" s="65">
        <f>$D$85</f>
        <v>119500</v>
      </c>
      <c r="Q100" s="65">
        <f>$D$84</f>
        <v>122750</v>
      </c>
      <c r="R100" s="65">
        <f>$D$83</f>
        <v>126000</v>
      </c>
      <c r="S100" s="65">
        <f>$D$82</f>
        <v>129250</v>
      </c>
      <c r="T100" s="65">
        <f>$D$81</f>
        <v>132500</v>
      </c>
      <c r="U100" s="65">
        <f>$D$80</f>
        <v>135750</v>
      </c>
      <c r="V100" s="65">
        <f>$D$79</f>
        <v>139000</v>
      </c>
      <c r="W100" s="65">
        <f>$D$78</f>
        <v>142250</v>
      </c>
      <c r="X100" s="65">
        <f t="shared" si="3"/>
        <v>1595750</v>
      </c>
    </row>
    <row r="101" spans="1:24">
      <c r="A101" s="49"/>
      <c r="B101" s="49"/>
      <c r="C101" s="66"/>
      <c r="D101" s="66"/>
      <c r="E101" s="66"/>
      <c r="F101" s="66"/>
      <c r="G101" s="66"/>
      <c r="H101" s="66"/>
      <c r="I101" s="66"/>
      <c r="J101" s="66"/>
      <c r="K101" s="66"/>
      <c r="L101" s="65">
        <f>$D$90</f>
        <v>103250</v>
      </c>
      <c r="M101" s="65">
        <f>$D$89</f>
        <v>106500</v>
      </c>
      <c r="N101" s="65">
        <f>$D$88</f>
        <v>109750</v>
      </c>
      <c r="O101" s="65">
        <f>$D$87</f>
        <v>113000</v>
      </c>
      <c r="P101" s="65">
        <f>$D$86</f>
        <v>116250</v>
      </c>
      <c r="Q101" s="65">
        <f>$D$85</f>
        <v>119500</v>
      </c>
      <c r="R101" s="65">
        <f>$D$84</f>
        <v>122750</v>
      </c>
      <c r="S101" s="65">
        <f>$D$83</f>
        <v>126000</v>
      </c>
      <c r="T101" s="65">
        <f>$D$82</f>
        <v>129250</v>
      </c>
      <c r="U101" s="65">
        <f>$D$81</f>
        <v>132500</v>
      </c>
      <c r="V101" s="65">
        <f>$D$80</f>
        <v>135750</v>
      </c>
      <c r="W101" s="65">
        <f>$D$79</f>
        <v>139000</v>
      </c>
      <c r="X101" s="65">
        <f t="shared" si="3"/>
        <v>1453500</v>
      </c>
    </row>
    <row r="102" spans="1:24">
      <c r="A102" s="49"/>
      <c r="B102" s="49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5">
        <f>$D$90</f>
        <v>103250</v>
      </c>
      <c r="N102" s="65">
        <f>$D$89</f>
        <v>106500</v>
      </c>
      <c r="O102" s="65">
        <f>$D$88</f>
        <v>109750</v>
      </c>
      <c r="P102" s="65">
        <f>$D$87</f>
        <v>113000</v>
      </c>
      <c r="Q102" s="65">
        <f>$D$86</f>
        <v>116250</v>
      </c>
      <c r="R102" s="65">
        <f>$D$85</f>
        <v>119500</v>
      </c>
      <c r="S102" s="65">
        <f>$D$84</f>
        <v>122750</v>
      </c>
      <c r="T102" s="65">
        <f>$D$83</f>
        <v>126000</v>
      </c>
      <c r="U102" s="65">
        <f>$D$82</f>
        <v>129250</v>
      </c>
      <c r="V102" s="65">
        <f>$D$81</f>
        <v>132500</v>
      </c>
      <c r="W102" s="65">
        <f>$D$80</f>
        <v>135750</v>
      </c>
      <c r="X102" s="65">
        <f t="shared" si="3"/>
        <v>1314500</v>
      </c>
    </row>
    <row r="103" spans="1:24">
      <c r="A103" s="49"/>
      <c r="B103" s="49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5">
        <f>$D$90</f>
        <v>103250</v>
      </c>
      <c r="O103" s="65">
        <f>$D$89</f>
        <v>106500</v>
      </c>
      <c r="P103" s="65">
        <f>$D$88</f>
        <v>109750</v>
      </c>
      <c r="Q103" s="65">
        <f>$D$87</f>
        <v>113000</v>
      </c>
      <c r="R103" s="65">
        <f>$D$86</f>
        <v>116250</v>
      </c>
      <c r="S103" s="65">
        <f>$D$85</f>
        <v>119500</v>
      </c>
      <c r="T103" s="65">
        <f>$D$84</f>
        <v>122750</v>
      </c>
      <c r="U103" s="65">
        <f>$D$83</f>
        <v>126000</v>
      </c>
      <c r="V103" s="65">
        <f>$D$82</f>
        <v>129250</v>
      </c>
      <c r="W103" s="65">
        <f>$D$81</f>
        <v>132500</v>
      </c>
      <c r="X103" s="65">
        <f t="shared" si="3"/>
        <v>1178750</v>
      </c>
    </row>
    <row r="104" spans="1:24">
      <c r="A104" s="49"/>
      <c r="B104" s="49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5">
        <f>$D$90</f>
        <v>103250</v>
      </c>
      <c r="P104" s="65">
        <f>$D$89</f>
        <v>106500</v>
      </c>
      <c r="Q104" s="65">
        <f>$D$88</f>
        <v>109750</v>
      </c>
      <c r="R104" s="65">
        <f>$D$87</f>
        <v>113000</v>
      </c>
      <c r="S104" s="65">
        <f>$D$86</f>
        <v>116250</v>
      </c>
      <c r="T104" s="65">
        <f>$D$85</f>
        <v>119500</v>
      </c>
      <c r="U104" s="65">
        <f>$D$84</f>
        <v>122750</v>
      </c>
      <c r="V104" s="65">
        <f>$D$83</f>
        <v>126000</v>
      </c>
      <c r="W104" s="65">
        <f>$D$82</f>
        <v>129250</v>
      </c>
      <c r="X104" s="65">
        <f t="shared" si="3"/>
        <v>1046250</v>
      </c>
    </row>
    <row r="105" spans="1:24">
      <c r="A105" s="49"/>
      <c r="B105" s="49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5">
        <f>$D$90</f>
        <v>103250</v>
      </c>
      <c r="Q105" s="65">
        <f>$D$89</f>
        <v>106500</v>
      </c>
      <c r="R105" s="65">
        <f>$D$88</f>
        <v>109750</v>
      </c>
      <c r="S105" s="65">
        <f>$D$87</f>
        <v>113000</v>
      </c>
      <c r="T105" s="65">
        <f>$D$86</f>
        <v>116250</v>
      </c>
      <c r="U105" s="65">
        <f>$D$85</f>
        <v>119500</v>
      </c>
      <c r="V105" s="65">
        <f>$D$84</f>
        <v>122750</v>
      </c>
      <c r="W105" s="65">
        <f>$D$83</f>
        <v>126000</v>
      </c>
      <c r="X105" s="65">
        <f t="shared" si="3"/>
        <v>917000</v>
      </c>
    </row>
    <row r="106" spans="1:24">
      <c r="A106" s="49"/>
      <c r="B106" s="49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5">
        <f>$D$90</f>
        <v>103250</v>
      </c>
      <c r="R106" s="65">
        <f>$D$89</f>
        <v>106500</v>
      </c>
      <c r="S106" s="65">
        <f>$D$88</f>
        <v>109750</v>
      </c>
      <c r="T106" s="65">
        <f>$D$87</f>
        <v>113000</v>
      </c>
      <c r="U106" s="65">
        <f>$D$86</f>
        <v>116250</v>
      </c>
      <c r="V106" s="65">
        <f>$D$85</f>
        <v>119500</v>
      </c>
      <c r="W106" s="65">
        <f>$D$84</f>
        <v>122750</v>
      </c>
      <c r="X106" s="65">
        <f t="shared" si="3"/>
        <v>791000</v>
      </c>
    </row>
    <row r="107" spans="1:24">
      <c r="A107" s="49"/>
      <c r="B107" s="49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5">
        <f>$D$90</f>
        <v>103250</v>
      </c>
      <c r="S107" s="65">
        <f>$D$89</f>
        <v>106500</v>
      </c>
      <c r="T107" s="65">
        <f>$D$88</f>
        <v>109750</v>
      </c>
      <c r="U107" s="65">
        <f>$D$87</f>
        <v>113000</v>
      </c>
      <c r="V107" s="65">
        <f>$D$86</f>
        <v>116250</v>
      </c>
      <c r="W107" s="65">
        <f>$D$85</f>
        <v>119500</v>
      </c>
      <c r="X107" s="65">
        <f t="shared" si="3"/>
        <v>668250</v>
      </c>
    </row>
    <row r="108" spans="1:24">
      <c r="A108" s="49"/>
      <c r="B108" s="49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5">
        <f>$D$90</f>
        <v>103250</v>
      </c>
      <c r="T108" s="65">
        <f>$D$89</f>
        <v>106500</v>
      </c>
      <c r="U108" s="65">
        <f>$D$88</f>
        <v>109750</v>
      </c>
      <c r="V108" s="65">
        <f>$D$87</f>
        <v>113000</v>
      </c>
      <c r="W108" s="65">
        <f>$D$86</f>
        <v>116250</v>
      </c>
      <c r="X108" s="65">
        <f t="shared" si="3"/>
        <v>548750</v>
      </c>
    </row>
    <row r="109" spans="1:24">
      <c r="A109" s="49"/>
      <c r="B109" s="49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5">
        <f>$D$90</f>
        <v>103250</v>
      </c>
      <c r="U109" s="65">
        <f>$D$89</f>
        <v>106500</v>
      </c>
      <c r="V109" s="65">
        <f>$D$88</f>
        <v>109750</v>
      </c>
      <c r="W109" s="65">
        <f>$D$87</f>
        <v>113000</v>
      </c>
      <c r="X109" s="65">
        <f t="shared" si="3"/>
        <v>432500</v>
      </c>
    </row>
    <row r="110" spans="1:24">
      <c r="A110" s="49"/>
      <c r="B110" s="49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5">
        <f>$D$90</f>
        <v>103250</v>
      </c>
      <c r="V110" s="65">
        <f>$D$89</f>
        <v>106500</v>
      </c>
      <c r="W110" s="65">
        <f>$D$88</f>
        <v>109750</v>
      </c>
      <c r="X110" s="65">
        <f>SUM(B110:W110)</f>
        <v>319500</v>
      </c>
    </row>
    <row r="111" spans="1:24">
      <c r="A111" s="49"/>
      <c r="B111" s="49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5">
        <f>$D$90</f>
        <v>103250</v>
      </c>
      <c r="W111" s="65">
        <f>$D$89</f>
        <v>106500</v>
      </c>
      <c r="X111" s="65">
        <f>SUM(B111:W111)</f>
        <v>209750</v>
      </c>
    </row>
    <row r="112" spans="1:24">
      <c r="A112" s="59">
        <f>SUM(B69:B88)</f>
        <v>2682500</v>
      </c>
      <c r="B112" s="49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5">
        <f>$D$90</f>
        <v>103250</v>
      </c>
      <c r="X112" s="65">
        <f>SUM(B112:W112)</f>
        <v>103250</v>
      </c>
    </row>
  </sheetData>
  <sheetProtection algorithmName="SHA-512" hashValue="MNGaz13iRa+6mAgeq4AIWvEJRSmtnz55Afpt1mdyv4kNdX3Hj1q6L0qSNgynKJuhMTSWbQoQJqOw3CoDqjjbUQ==" saltValue="6IMgh6hR+mkxkSlEBSKY2Q==" spinCount="100000" sheet="1" objects="1" scenarios="1"/>
  <phoneticPr fontId="19" type="noConversion"/>
  <printOptions headings="1" gridLines="1"/>
  <pageMargins left="0.7" right="0.7" top="0.75" bottom="0.75" header="0.3" footer="0.3"/>
  <pageSetup scale="47" orientation="landscape" r:id="rId1"/>
  <headerFooter>
    <oddHeader>&amp;L&amp;F&amp;RPage &amp;P of &amp;N</oddHeader>
    <oddFooter>&amp;C&amp;A</oddFooter>
  </headerFooter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Affordability Variables</vt:lpstr>
      <vt:lpstr>Acq. &amp; Maint. Affordability</vt:lpstr>
      <vt:lpstr>Acquisition L-T Borrowing</vt:lpstr>
      <vt:lpstr>Acquisition S-T Borrowing</vt:lpstr>
      <vt:lpstr>Annual Capex Borrowing</vt:lpstr>
      <vt:lpstr>'Acquisition L-T Borrowing'!Print_Area</vt:lpstr>
      <vt:lpstr>'Affordability Variables'!Print_Area</vt:lpstr>
      <vt:lpstr>'Acq. &amp; Maint. Affordability'!Print_Titles</vt:lpstr>
      <vt:lpstr>'Acquisition L-T Borrowing'!Print_Titles</vt:lpstr>
    </vt:vector>
  </TitlesOfParts>
  <Company>E.R.Siegfried, CPA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Siegfried</dc:creator>
  <cp:lastModifiedBy>Administrator</cp:lastModifiedBy>
  <cp:lastPrinted>2018-07-08T19:28:22Z</cp:lastPrinted>
  <dcterms:created xsi:type="dcterms:W3CDTF">2012-10-19T20:06:44Z</dcterms:created>
  <dcterms:modified xsi:type="dcterms:W3CDTF">2018-07-11T13:58:25Z</dcterms:modified>
</cp:coreProperties>
</file>